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mc:AlternateContent xmlns:mc="http://schemas.openxmlformats.org/markup-compatibility/2006">
    <mc:Choice Requires="x15">
      <x15ac:absPath xmlns:x15ac="http://schemas.microsoft.com/office/spreadsheetml/2010/11/ac" url="C:\CIGRE 2 oct 19\CIGRE\Finance and Audit  Committee\Budget\Budget 2021_23\"/>
    </mc:Choice>
  </mc:AlternateContent>
  <xr:revisionPtr revIDLastSave="0" documentId="13_ncr:1_{D2FFF8F1-62FE-4BE7-BF3C-B347441A6C69}" xr6:coauthVersionLast="45" xr6:coauthVersionMax="45" xr10:uidLastSave="{00000000-0000-0000-0000-000000000000}"/>
  <bookViews>
    <workbookView xWindow="-98" yWindow="-98" windowWidth="24496" windowHeight="15796" tabRatio="932" firstSheet="3" activeTab="3" xr2:uid="{00000000-000D-0000-FFFF-FFFF00000000}"/>
  </bookViews>
  <sheets>
    <sheet name="Profit  Loss" sheetId="1" state="hidden" r:id="rId1"/>
    <sheet name="Sheet2" sheetId="3" state="hidden" r:id="rId2"/>
    <sheet name="BASE - Pre CV-19" sheetId="10" state="hidden" r:id="rId3"/>
    <sheet name="SUMMARY" sheetId="16" r:id="rId4"/>
    <sheet name="BASE assumptions " sheetId="2" r:id="rId5"/>
    <sheet name="BASE Budget pre CV-19" sheetId="21" r:id="rId6"/>
    <sheet name="BASE YTD adjust" sheetId="5" r:id="rId7"/>
    <sheet name="PS 21_22 NC" sheetId="17" r:id="rId8"/>
    <sheet name="PS 21_22 T75jan21" sheetId="11" r:id="rId9"/>
    <sheet name="PS NT jan 21" sheetId="12" r:id="rId10"/>
    <sheet name="PS T75 NoSPCID" sheetId="13" r:id="rId11"/>
    <sheet name="PS 21_22 NC mem 5 and 25" sheetId="18" r:id="rId12"/>
    <sheet name="PS 21_22 NC  Mem 5 and 50" sheetId="19" r:id="rId13"/>
    <sheet name="PS 21_22 NoSPCIS mem 5&amp; 25" sheetId="14" r:id="rId14"/>
    <sheet name="PS 21_22 NoSPCID memb 5 and 50" sheetId="20" r:id="rId15"/>
    <sheet name="Sheet8" sheetId="9" state="hidden" r:id="rId16"/>
    <sheet name="swap paris years" sheetId="7" state="hidden" r:id="rId17"/>
    <sheet name="swap Paris no SEAPAC" sheetId="8" state="hidden" r:id="rId18"/>
  </sheets>
  <externalReferences>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16" l="1"/>
  <c r="F33" i="16" s="1"/>
  <c r="E32" i="16"/>
  <c r="E33" i="16" s="1"/>
  <c r="D32" i="16"/>
  <c r="C32" i="16"/>
  <c r="F29" i="16"/>
  <c r="F30" i="16" s="1"/>
  <c r="E29" i="16"/>
  <c r="E30" i="16" s="1"/>
  <c r="D29" i="16"/>
  <c r="C29" i="16"/>
  <c r="F26" i="16"/>
  <c r="F27" i="16" s="1"/>
  <c r="E26" i="16"/>
  <c r="E27" i="16" s="1"/>
  <c r="D26" i="16"/>
  <c r="C26" i="16"/>
  <c r="F23" i="16"/>
  <c r="F24" i="16" s="1"/>
  <c r="E23" i="16"/>
  <c r="E24" i="16" s="1"/>
  <c r="D23" i="16"/>
  <c r="C23" i="16"/>
  <c r="F20" i="16"/>
  <c r="F21" i="16" s="1"/>
  <c r="E20" i="16"/>
  <c r="E21" i="16" s="1"/>
  <c r="D20" i="16"/>
  <c r="C20" i="16"/>
  <c r="F17" i="16"/>
  <c r="F18" i="16" s="1"/>
  <c r="E17" i="16"/>
  <c r="E18" i="16" s="1"/>
  <c r="D17" i="16"/>
  <c r="C17" i="16"/>
  <c r="F14" i="16"/>
  <c r="F15" i="16" s="1"/>
  <c r="E14" i="16"/>
  <c r="E15" i="16" s="1"/>
  <c r="D14" i="16"/>
  <c r="C14" i="16"/>
  <c r="C12" i="16"/>
  <c r="F11" i="16"/>
  <c r="F12" i="16" s="1"/>
  <c r="E11" i="16"/>
  <c r="E12" i="16" s="1"/>
  <c r="D11" i="16"/>
  <c r="C11" i="16"/>
  <c r="F8" i="16"/>
  <c r="F9" i="16" s="1"/>
  <c r="E8" i="16"/>
  <c r="E9" i="16" s="1"/>
  <c r="D8" i="16"/>
  <c r="C8" i="16"/>
  <c r="F6" i="16"/>
  <c r="E6" i="16"/>
  <c r="D6" i="16"/>
  <c r="D30" i="16" s="1"/>
  <c r="C6" i="16"/>
  <c r="C33" i="16" s="1"/>
  <c r="C15" i="16" l="1"/>
  <c r="C21" i="16"/>
  <c r="C27" i="16"/>
  <c r="D12" i="16"/>
  <c r="D18" i="16"/>
  <c r="D21" i="16"/>
  <c r="D27" i="16"/>
  <c r="D33" i="16"/>
  <c r="C9" i="16"/>
  <c r="C18" i="16"/>
  <c r="C24" i="16"/>
  <c r="C30" i="16"/>
  <c r="D9" i="16"/>
  <c r="D15" i="16"/>
  <c r="D24" i="16"/>
  <c r="F72" i="21" l="1"/>
  <c r="F74" i="21" s="1"/>
  <c r="E72" i="21"/>
  <c r="E74" i="21" s="1"/>
  <c r="D72" i="21"/>
  <c r="D74" i="21" s="1"/>
  <c r="F71" i="21"/>
  <c r="F73" i="21" s="1"/>
  <c r="K73" i="21" s="1"/>
  <c r="E71" i="21"/>
  <c r="E73" i="21" s="1"/>
  <c r="J73" i="21" s="1"/>
  <c r="D71" i="21"/>
  <c r="D73" i="21" s="1"/>
  <c r="I73" i="21" s="1"/>
  <c r="K69" i="21"/>
  <c r="J69" i="21"/>
  <c r="I69" i="21"/>
  <c r="G69" i="21"/>
  <c r="K67" i="21"/>
  <c r="J67" i="21"/>
  <c r="I67" i="21"/>
  <c r="G67" i="21"/>
  <c r="L67" i="21" s="1"/>
  <c r="K65" i="21"/>
  <c r="J65" i="21"/>
  <c r="I65" i="21"/>
  <c r="G65" i="21"/>
  <c r="G66" i="21" s="1"/>
  <c r="K63" i="21"/>
  <c r="J63" i="21"/>
  <c r="I63" i="21"/>
  <c r="G63" i="21"/>
  <c r="L63" i="21" s="1"/>
  <c r="K59" i="21"/>
  <c r="J59" i="21"/>
  <c r="I59" i="21"/>
  <c r="G59" i="21"/>
  <c r="G60" i="21" s="1"/>
  <c r="K57" i="21"/>
  <c r="J57" i="21"/>
  <c r="I57" i="21"/>
  <c r="G57" i="21"/>
  <c r="G58" i="21" s="1"/>
  <c r="K55" i="21"/>
  <c r="J55" i="21"/>
  <c r="I55" i="21"/>
  <c r="G55" i="21"/>
  <c r="G56" i="21" s="1"/>
  <c r="K53" i="21"/>
  <c r="J53" i="21"/>
  <c r="I53" i="21"/>
  <c r="G53" i="21"/>
  <c r="L53" i="21" s="1"/>
  <c r="K51" i="21"/>
  <c r="J51" i="21"/>
  <c r="I51" i="21"/>
  <c r="G51" i="21"/>
  <c r="G52" i="21" s="1"/>
  <c r="F43" i="21"/>
  <c r="E43" i="21"/>
  <c r="D43" i="21"/>
  <c r="G42" i="21"/>
  <c r="G43" i="21" s="1"/>
  <c r="F42" i="21"/>
  <c r="K42" i="21" s="1"/>
  <c r="E42" i="21"/>
  <c r="J42" i="21" s="1"/>
  <c r="D42" i="21"/>
  <c r="I42" i="21" s="1"/>
  <c r="K39" i="21"/>
  <c r="J39" i="21"/>
  <c r="I39" i="21"/>
  <c r="G39" i="21"/>
  <c r="G40" i="21" s="1"/>
  <c r="K37" i="21"/>
  <c r="J37" i="21"/>
  <c r="I37" i="21"/>
  <c r="G37" i="21"/>
  <c r="G38" i="21" s="1"/>
  <c r="K35" i="21"/>
  <c r="J35" i="21"/>
  <c r="I35" i="21"/>
  <c r="G35" i="21"/>
  <c r="L35" i="21" s="1"/>
  <c r="K33" i="21"/>
  <c r="J33" i="21"/>
  <c r="I33" i="21"/>
  <c r="G33" i="21"/>
  <c r="G34" i="21" s="1"/>
  <c r="K31" i="21"/>
  <c r="J31" i="21"/>
  <c r="I31" i="21"/>
  <c r="G31" i="21"/>
  <c r="L31" i="21" s="1"/>
  <c r="K28" i="21"/>
  <c r="J28" i="21"/>
  <c r="I28" i="21"/>
  <c r="G28" i="21"/>
  <c r="G29" i="21" s="1"/>
  <c r="K22" i="21"/>
  <c r="J22" i="21"/>
  <c r="I22" i="21"/>
  <c r="G22" i="21"/>
  <c r="G23" i="21" s="1"/>
  <c r="E20" i="21"/>
  <c r="E25" i="21" s="1"/>
  <c r="D20" i="21"/>
  <c r="D25" i="21" s="1"/>
  <c r="F19" i="21"/>
  <c r="F24" i="21" s="1"/>
  <c r="K24" i="21" s="1"/>
  <c r="E19" i="21"/>
  <c r="E24" i="21" s="1"/>
  <c r="D19" i="21"/>
  <c r="I19" i="21" s="1"/>
  <c r="F18" i="21"/>
  <c r="F20" i="21" s="1"/>
  <c r="K17" i="21"/>
  <c r="J17" i="21"/>
  <c r="I17" i="21"/>
  <c r="G17" i="21"/>
  <c r="K15" i="21"/>
  <c r="J15" i="21"/>
  <c r="I15" i="21"/>
  <c r="G15" i="21"/>
  <c r="K12" i="21"/>
  <c r="J12" i="21"/>
  <c r="I12" i="21"/>
  <c r="G12" i="21"/>
  <c r="G13" i="21" s="1"/>
  <c r="P69" i="20"/>
  <c r="O69" i="20"/>
  <c r="N69" i="20"/>
  <c r="K69" i="20"/>
  <c r="J69" i="20"/>
  <c r="I69" i="20"/>
  <c r="P67" i="20"/>
  <c r="O67" i="20"/>
  <c r="N67" i="20"/>
  <c r="K67" i="20"/>
  <c r="J67" i="20"/>
  <c r="I67" i="20"/>
  <c r="N65" i="20"/>
  <c r="K65" i="20"/>
  <c r="J65" i="20"/>
  <c r="I65" i="20"/>
  <c r="P63" i="20"/>
  <c r="O63" i="20"/>
  <c r="N63" i="20"/>
  <c r="K63" i="20"/>
  <c r="J63" i="20"/>
  <c r="I63" i="20"/>
  <c r="N59" i="20"/>
  <c r="K59" i="20"/>
  <c r="J59" i="20"/>
  <c r="I59" i="20"/>
  <c r="N57" i="20"/>
  <c r="K57" i="20"/>
  <c r="J57" i="20"/>
  <c r="I57" i="20"/>
  <c r="P55" i="20"/>
  <c r="O55" i="20"/>
  <c r="N55" i="20"/>
  <c r="K55" i="20"/>
  <c r="J55" i="20"/>
  <c r="I55" i="20"/>
  <c r="P53" i="20"/>
  <c r="O53" i="20"/>
  <c r="N53" i="20"/>
  <c r="K53" i="20"/>
  <c r="J53" i="20"/>
  <c r="I53" i="20"/>
  <c r="P51" i="20"/>
  <c r="O51" i="20"/>
  <c r="N51" i="20"/>
  <c r="K51" i="20"/>
  <c r="J51" i="20"/>
  <c r="I51" i="20"/>
  <c r="P39" i="20"/>
  <c r="O39" i="20"/>
  <c r="N39" i="20"/>
  <c r="K39" i="20"/>
  <c r="J39" i="20"/>
  <c r="I39" i="20"/>
  <c r="P37" i="20"/>
  <c r="O37" i="20"/>
  <c r="N37" i="20"/>
  <c r="K37" i="20"/>
  <c r="J37" i="20"/>
  <c r="I37" i="20"/>
  <c r="P35" i="20"/>
  <c r="O35" i="20"/>
  <c r="N35" i="20"/>
  <c r="K35" i="20"/>
  <c r="J35" i="20"/>
  <c r="I35" i="20"/>
  <c r="P33" i="20"/>
  <c r="O33" i="20"/>
  <c r="N33" i="20"/>
  <c r="K33" i="20"/>
  <c r="J33" i="20"/>
  <c r="I33" i="20"/>
  <c r="P31" i="20"/>
  <c r="O31" i="20"/>
  <c r="N31" i="20"/>
  <c r="K31" i="20"/>
  <c r="J31" i="20"/>
  <c r="I31" i="20"/>
  <c r="P28" i="20"/>
  <c r="O28" i="20"/>
  <c r="N28" i="20"/>
  <c r="K28" i="20"/>
  <c r="J28" i="20"/>
  <c r="I28" i="20"/>
  <c r="N22" i="20"/>
  <c r="K22" i="20"/>
  <c r="J22" i="20"/>
  <c r="I22" i="20"/>
  <c r="N17" i="20"/>
  <c r="K17" i="20"/>
  <c r="J17" i="20"/>
  <c r="I17" i="20"/>
  <c r="N15" i="20"/>
  <c r="K15" i="20"/>
  <c r="J15" i="20"/>
  <c r="I15" i="20"/>
  <c r="P12" i="20"/>
  <c r="O12" i="20"/>
  <c r="N12" i="20"/>
  <c r="K12" i="20"/>
  <c r="J12" i="20"/>
  <c r="I12" i="20"/>
  <c r="O7" i="20"/>
  <c r="P69" i="14"/>
  <c r="O69" i="14"/>
  <c r="N69" i="14"/>
  <c r="K69" i="14"/>
  <c r="J69" i="14"/>
  <c r="I69" i="14"/>
  <c r="P67" i="14"/>
  <c r="O67" i="14"/>
  <c r="N67" i="14"/>
  <c r="K67" i="14"/>
  <c r="J67" i="14"/>
  <c r="I67" i="14"/>
  <c r="N65" i="14"/>
  <c r="K65" i="14"/>
  <c r="J65" i="14"/>
  <c r="I65" i="14"/>
  <c r="P63" i="14"/>
  <c r="O63" i="14"/>
  <c r="N63" i="14"/>
  <c r="K63" i="14"/>
  <c r="J63" i="14"/>
  <c r="I63" i="14"/>
  <c r="N59" i="14"/>
  <c r="K59" i="14"/>
  <c r="J59" i="14"/>
  <c r="I59" i="14"/>
  <c r="N57" i="14"/>
  <c r="K57" i="14"/>
  <c r="J57" i="14"/>
  <c r="I57" i="14"/>
  <c r="P55" i="14"/>
  <c r="O55" i="14"/>
  <c r="N55" i="14"/>
  <c r="K55" i="14"/>
  <c r="J55" i="14"/>
  <c r="I55" i="14"/>
  <c r="P53" i="14"/>
  <c r="O53" i="14"/>
  <c r="N53" i="14"/>
  <c r="K53" i="14"/>
  <c r="J53" i="14"/>
  <c r="I53" i="14"/>
  <c r="P51" i="14"/>
  <c r="O51" i="14"/>
  <c r="N51" i="14"/>
  <c r="K51" i="14"/>
  <c r="J51" i="14"/>
  <c r="I51" i="14"/>
  <c r="P39" i="14"/>
  <c r="O39" i="14"/>
  <c r="N39" i="14"/>
  <c r="K39" i="14"/>
  <c r="J39" i="14"/>
  <c r="I39" i="14"/>
  <c r="P37" i="14"/>
  <c r="O37" i="14"/>
  <c r="N37" i="14"/>
  <c r="K37" i="14"/>
  <c r="J37" i="14"/>
  <c r="I37" i="14"/>
  <c r="P35" i="14"/>
  <c r="O35" i="14"/>
  <c r="N35" i="14"/>
  <c r="K35" i="14"/>
  <c r="J35" i="14"/>
  <c r="I35" i="14"/>
  <c r="P33" i="14"/>
  <c r="O33" i="14"/>
  <c r="N33" i="14"/>
  <c r="K33" i="14"/>
  <c r="J33" i="14"/>
  <c r="I33" i="14"/>
  <c r="P31" i="14"/>
  <c r="O31" i="14"/>
  <c r="N31" i="14"/>
  <c r="K31" i="14"/>
  <c r="J31" i="14"/>
  <c r="I31" i="14"/>
  <c r="P28" i="14"/>
  <c r="O28" i="14"/>
  <c r="N28" i="14"/>
  <c r="K28" i="14"/>
  <c r="J28" i="14"/>
  <c r="I28" i="14"/>
  <c r="N22" i="14"/>
  <c r="K22" i="14"/>
  <c r="J22" i="14"/>
  <c r="I22" i="14"/>
  <c r="N17" i="14"/>
  <c r="K17" i="14"/>
  <c r="J17" i="14"/>
  <c r="I17" i="14"/>
  <c r="N15" i="14"/>
  <c r="K15" i="14"/>
  <c r="J15" i="14"/>
  <c r="I15" i="14"/>
  <c r="P12" i="14"/>
  <c r="O12" i="14"/>
  <c r="N12" i="14"/>
  <c r="K12" i="14"/>
  <c r="J12" i="14"/>
  <c r="I12" i="14"/>
  <c r="O7" i="14"/>
  <c r="P69" i="19"/>
  <c r="O69" i="19"/>
  <c r="N69" i="19"/>
  <c r="K69" i="19"/>
  <c r="J69" i="19"/>
  <c r="I69" i="19"/>
  <c r="P67" i="19"/>
  <c r="O67" i="19"/>
  <c r="N67" i="19"/>
  <c r="K67" i="19"/>
  <c r="J67" i="19"/>
  <c r="I67" i="19"/>
  <c r="N65" i="19"/>
  <c r="K65" i="19"/>
  <c r="J65" i="19"/>
  <c r="I65" i="19"/>
  <c r="P63" i="19"/>
  <c r="O63" i="19"/>
  <c r="N63" i="19"/>
  <c r="K63" i="19"/>
  <c r="J63" i="19"/>
  <c r="I63" i="19"/>
  <c r="N59" i="19"/>
  <c r="K59" i="19"/>
  <c r="J59" i="19"/>
  <c r="I59" i="19"/>
  <c r="N57" i="19"/>
  <c r="K57" i="19"/>
  <c r="J57" i="19"/>
  <c r="I57" i="19"/>
  <c r="P55" i="19"/>
  <c r="O55" i="19"/>
  <c r="N55" i="19"/>
  <c r="K55" i="19"/>
  <c r="J55" i="19"/>
  <c r="I55" i="19"/>
  <c r="P53" i="19"/>
  <c r="O53" i="19"/>
  <c r="N53" i="19"/>
  <c r="K53" i="19"/>
  <c r="J53" i="19"/>
  <c r="I53" i="19"/>
  <c r="P51" i="19"/>
  <c r="O51" i="19"/>
  <c r="N51" i="19"/>
  <c r="K51" i="19"/>
  <c r="J51" i="19"/>
  <c r="I51" i="19"/>
  <c r="P39" i="19"/>
  <c r="O39" i="19"/>
  <c r="N39" i="19"/>
  <c r="K39" i="19"/>
  <c r="J39" i="19"/>
  <c r="I39" i="19"/>
  <c r="P37" i="19"/>
  <c r="O37" i="19"/>
  <c r="N37" i="19"/>
  <c r="K37" i="19"/>
  <c r="J37" i="19"/>
  <c r="I37" i="19"/>
  <c r="P35" i="19"/>
  <c r="O35" i="19"/>
  <c r="N35" i="19"/>
  <c r="K35" i="19"/>
  <c r="J35" i="19"/>
  <c r="I35" i="19"/>
  <c r="P33" i="19"/>
  <c r="O33" i="19"/>
  <c r="N33" i="19"/>
  <c r="K33" i="19"/>
  <c r="J33" i="19"/>
  <c r="I33" i="19"/>
  <c r="P31" i="19"/>
  <c r="O31" i="19"/>
  <c r="N31" i="19"/>
  <c r="K31" i="19"/>
  <c r="J31" i="19"/>
  <c r="I31" i="19"/>
  <c r="P28" i="19"/>
  <c r="O28" i="19"/>
  <c r="N28" i="19"/>
  <c r="K28" i="19"/>
  <c r="J28" i="19"/>
  <c r="I28" i="19"/>
  <c r="N22" i="19"/>
  <c r="K22" i="19"/>
  <c r="J22" i="19"/>
  <c r="I22" i="19"/>
  <c r="N17" i="19"/>
  <c r="K17" i="19"/>
  <c r="J17" i="19"/>
  <c r="I17" i="19"/>
  <c r="N15" i="19"/>
  <c r="K15" i="19"/>
  <c r="J15" i="19"/>
  <c r="I15" i="19"/>
  <c r="P12" i="19"/>
  <c r="O12" i="19"/>
  <c r="N12" i="19"/>
  <c r="K12" i="19"/>
  <c r="J12" i="19"/>
  <c r="I12" i="19"/>
  <c r="O7" i="19"/>
  <c r="P69" i="18"/>
  <c r="O69" i="18"/>
  <c r="N69" i="18"/>
  <c r="K69" i="18"/>
  <c r="J69" i="18"/>
  <c r="I69" i="18"/>
  <c r="P67" i="18"/>
  <c r="O67" i="18"/>
  <c r="N67" i="18"/>
  <c r="K67" i="18"/>
  <c r="J67" i="18"/>
  <c r="I67" i="18"/>
  <c r="N65" i="18"/>
  <c r="K65" i="18"/>
  <c r="J65" i="18"/>
  <c r="I65" i="18"/>
  <c r="P63" i="18"/>
  <c r="O63" i="18"/>
  <c r="N63" i="18"/>
  <c r="K63" i="18"/>
  <c r="J63" i="18"/>
  <c r="I63" i="18"/>
  <c r="N59" i="18"/>
  <c r="K59" i="18"/>
  <c r="J59" i="18"/>
  <c r="I59" i="18"/>
  <c r="N57" i="18"/>
  <c r="K57" i="18"/>
  <c r="J57" i="18"/>
  <c r="I57" i="18"/>
  <c r="P55" i="18"/>
  <c r="O55" i="18"/>
  <c r="N55" i="18"/>
  <c r="K55" i="18"/>
  <c r="J55" i="18"/>
  <c r="I55" i="18"/>
  <c r="P53" i="18"/>
  <c r="O53" i="18"/>
  <c r="N53" i="18"/>
  <c r="K53" i="18"/>
  <c r="J53" i="18"/>
  <c r="I53" i="18"/>
  <c r="P51" i="18"/>
  <c r="O51" i="18"/>
  <c r="N51" i="18"/>
  <c r="K51" i="18"/>
  <c r="J51" i="18"/>
  <c r="I51" i="18"/>
  <c r="P39" i="18"/>
  <c r="O39" i="18"/>
  <c r="N39" i="18"/>
  <c r="K39" i="18"/>
  <c r="J39" i="18"/>
  <c r="I39" i="18"/>
  <c r="P37" i="18"/>
  <c r="O37" i="18"/>
  <c r="N37" i="18"/>
  <c r="K37" i="18"/>
  <c r="J37" i="18"/>
  <c r="I37" i="18"/>
  <c r="P35" i="18"/>
  <c r="O35" i="18"/>
  <c r="N35" i="18"/>
  <c r="K35" i="18"/>
  <c r="J35" i="18"/>
  <c r="I35" i="18"/>
  <c r="P33" i="18"/>
  <c r="O33" i="18"/>
  <c r="N33" i="18"/>
  <c r="K33" i="18"/>
  <c r="J33" i="18"/>
  <c r="I33" i="18"/>
  <c r="P31" i="18"/>
  <c r="O31" i="18"/>
  <c r="N31" i="18"/>
  <c r="K31" i="18"/>
  <c r="J31" i="18"/>
  <c r="I31" i="18"/>
  <c r="P28" i="18"/>
  <c r="O28" i="18"/>
  <c r="N28" i="18"/>
  <c r="K28" i="18"/>
  <c r="J28" i="18"/>
  <c r="I28" i="18"/>
  <c r="N22" i="18"/>
  <c r="K22" i="18"/>
  <c r="J22" i="18"/>
  <c r="I22" i="18"/>
  <c r="N17" i="18"/>
  <c r="K17" i="18"/>
  <c r="J17" i="18"/>
  <c r="I17" i="18"/>
  <c r="N15" i="18"/>
  <c r="K15" i="18"/>
  <c r="J15" i="18"/>
  <c r="I15" i="18"/>
  <c r="P12" i="18"/>
  <c r="O12" i="18"/>
  <c r="N12" i="18"/>
  <c r="K12" i="18"/>
  <c r="J12" i="18"/>
  <c r="I12" i="18"/>
  <c r="O7" i="18"/>
  <c r="P69" i="13"/>
  <c r="O69" i="13"/>
  <c r="N69" i="13"/>
  <c r="K69" i="13"/>
  <c r="J69" i="13"/>
  <c r="I69" i="13"/>
  <c r="P67" i="13"/>
  <c r="O67" i="13"/>
  <c r="N67" i="13"/>
  <c r="K67" i="13"/>
  <c r="J67" i="13"/>
  <c r="I67" i="13"/>
  <c r="P65" i="13"/>
  <c r="O65" i="13"/>
  <c r="N65" i="13"/>
  <c r="K65" i="13"/>
  <c r="J65" i="13"/>
  <c r="I65" i="13"/>
  <c r="P63" i="13"/>
  <c r="O63" i="13"/>
  <c r="N63" i="13"/>
  <c r="K63" i="13"/>
  <c r="J63" i="13"/>
  <c r="I63" i="13"/>
  <c r="N59" i="13"/>
  <c r="K59" i="13"/>
  <c r="J59" i="13"/>
  <c r="I59" i="13"/>
  <c r="P57" i="13"/>
  <c r="O57" i="13"/>
  <c r="N57" i="13"/>
  <c r="K57" i="13"/>
  <c r="J57" i="13"/>
  <c r="I57" i="13"/>
  <c r="P55" i="13"/>
  <c r="O55" i="13"/>
  <c r="N55" i="13"/>
  <c r="K55" i="13"/>
  <c r="J55" i="13"/>
  <c r="I55" i="13"/>
  <c r="P53" i="13"/>
  <c r="O53" i="13"/>
  <c r="N53" i="13"/>
  <c r="K53" i="13"/>
  <c r="J53" i="13"/>
  <c r="I53" i="13"/>
  <c r="P51" i="13"/>
  <c r="O51" i="13"/>
  <c r="N51" i="13"/>
  <c r="K51" i="13"/>
  <c r="J51" i="13"/>
  <c r="I51" i="13"/>
  <c r="P39" i="13"/>
  <c r="O39" i="13"/>
  <c r="N39" i="13"/>
  <c r="K39" i="13"/>
  <c r="J39" i="13"/>
  <c r="I39" i="13"/>
  <c r="P37" i="13"/>
  <c r="O37" i="13"/>
  <c r="N37" i="13"/>
  <c r="K37" i="13"/>
  <c r="J37" i="13"/>
  <c r="I37" i="13"/>
  <c r="P35" i="13"/>
  <c r="O35" i="13"/>
  <c r="N35" i="13"/>
  <c r="K35" i="13"/>
  <c r="J35" i="13"/>
  <c r="I35" i="13"/>
  <c r="P33" i="13"/>
  <c r="O33" i="13"/>
  <c r="N33" i="13"/>
  <c r="K33" i="13"/>
  <c r="J33" i="13"/>
  <c r="I33" i="13"/>
  <c r="P31" i="13"/>
  <c r="O31" i="13"/>
  <c r="N31" i="13"/>
  <c r="K31" i="13"/>
  <c r="J31" i="13"/>
  <c r="I31" i="13"/>
  <c r="P28" i="13"/>
  <c r="O28" i="13"/>
  <c r="N28" i="13"/>
  <c r="K28" i="13"/>
  <c r="J28" i="13"/>
  <c r="I28" i="13"/>
  <c r="P22" i="13"/>
  <c r="O22" i="13"/>
  <c r="N22" i="13"/>
  <c r="K22" i="13"/>
  <c r="J22" i="13"/>
  <c r="I22" i="13"/>
  <c r="O17" i="13"/>
  <c r="N17" i="13"/>
  <c r="K17" i="13"/>
  <c r="J17" i="13"/>
  <c r="I17" i="13"/>
  <c r="P15" i="13"/>
  <c r="O15" i="13"/>
  <c r="N15" i="13"/>
  <c r="K15" i="13"/>
  <c r="J15" i="13"/>
  <c r="I15" i="13"/>
  <c r="P12" i="13"/>
  <c r="O12" i="13"/>
  <c r="N12" i="13"/>
  <c r="K12" i="13"/>
  <c r="J12" i="13"/>
  <c r="I12" i="13"/>
  <c r="O7" i="13"/>
  <c r="P69" i="11"/>
  <c r="O69" i="11"/>
  <c r="N69" i="11"/>
  <c r="K69" i="11"/>
  <c r="J69" i="11"/>
  <c r="I69" i="11"/>
  <c r="P67" i="11"/>
  <c r="O67" i="11"/>
  <c r="N67" i="11"/>
  <c r="K67" i="11"/>
  <c r="J67" i="11"/>
  <c r="I67" i="11"/>
  <c r="P65" i="11"/>
  <c r="O65" i="11"/>
  <c r="N65" i="11"/>
  <c r="K65" i="11"/>
  <c r="J65" i="11"/>
  <c r="I65" i="11"/>
  <c r="P63" i="11"/>
  <c r="O63" i="11"/>
  <c r="N63" i="11"/>
  <c r="K63" i="11"/>
  <c r="J63" i="11"/>
  <c r="I63" i="11"/>
  <c r="N59" i="11"/>
  <c r="K59" i="11"/>
  <c r="J59" i="11"/>
  <c r="I59" i="11"/>
  <c r="P57" i="11"/>
  <c r="O57" i="11"/>
  <c r="N57" i="11"/>
  <c r="K57" i="11"/>
  <c r="J57" i="11"/>
  <c r="I57" i="11"/>
  <c r="P55" i="11"/>
  <c r="O55" i="11"/>
  <c r="N55" i="11"/>
  <c r="K55" i="11"/>
  <c r="J55" i="11"/>
  <c r="I55" i="11"/>
  <c r="P53" i="11"/>
  <c r="O53" i="11"/>
  <c r="N53" i="11"/>
  <c r="K53" i="11"/>
  <c r="J53" i="11"/>
  <c r="I53" i="11"/>
  <c r="P51" i="11"/>
  <c r="O51" i="11"/>
  <c r="N51" i="11"/>
  <c r="K51" i="11"/>
  <c r="J51" i="11"/>
  <c r="I51" i="11"/>
  <c r="P39" i="11"/>
  <c r="O39" i="11"/>
  <c r="N39" i="11"/>
  <c r="K39" i="11"/>
  <c r="J39" i="11"/>
  <c r="I39" i="11"/>
  <c r="P37" i="11"/>
  <c r="O37" i="11"/>
  <c r="N37" i="11"/>
  <c r="K37" i="11"/>
  <c r="J37" i="11"/>
  <c r="I37" i="11"/>
  <c r="P35" i="11"/>
  <c r="O35" i="11"/>
  <c r="N35" i="11"/>
  <c r="K35" i="11"/>
  <c r="J35" i="11"/>
  <c r="I35" i="11"/>
  <c r="P33" i="11"/>
  <c r="O33" i="11"/>
  <c r="N33" i="11"/>
  <c r="K33" i="11"/>
  <c r="J33" i="11"/>
  <c r="I33" i="11"/>
  <c r="P31" i="11"/>
  <c r="O31" i="11"/>
  <c r="N31" i="11"/>
  <c r="K31" i="11"/>
  <c r="J31" i="11"/>
  <c r="I31" i="11"/>
  <c r="P28" i="11"/>
  <c r="O28" i="11"/>
  <c r="N28" i="11"/>
  <c r="K28" i="11"/>
  <c r="J28" i="11"/>
  <c r="I28" i="11"/>
  <c r="P22" i="11"/>
  <c r="O22" i="11"/>
  <c r="N22" i="11"/>
  <c r="K22" i="11"/>
  <c r="J22" i="11"/>
  <c r="I22" i="11"/>
  <c r="O17" i="11"/>
  <c r="N17" i="11"/>
  <c r="K17" i="11"/>
  <c r="J17" i="11"/>
  <c r="I17" i="11"/>
  <c r="P15" i="11"/>
  <c r="O15" i="11"/>
  <c r="N15" i="11"/>
  <c r="K15" i="11"/>
  <c r="J15" i="11"/>
  <c r="I15" i="11"/>
  <c r="P12" i="11"/>
  <c r="O12" i="11"/>
  <c r="N12" i="11"/>
  <c r="K12" i="11"/>
  <c r="J12" i="11"/>
  <c r="I12" i="11"/>
  <c r="O7" i="11"/>
  <c r="P69" i="17"/>
  <c r="O69" i="17"/>
  <c r="N69" i="17"/>
  <c r="K69" i="17"/>
  <c r="J69" i="17"/>
  <c r="I69" i="17"/>
  <c r="P67" i="17"/>
  <c r="O67" i="17"/>
  <c r="N67" i="17"/>
  <c r="K67" i="17"/>
  <c r="J67" i="17"/>
  <c r="I67" i="17"/>
  <c r="N65" i="17"/>
  <c r="K65" i="17"/>
  <c r="J65" i="17"/>
  <c r="I65" i="17"/>
  <c r="P63" i="17"/>
  <c r="O63" i="17"/>
  <c r="N63" i="17"/>
  <c r="K63" i="17"/>
  <c r="J63" i="17"/>
  <c r="I63" i="17"/>
  <c r="N59" i="17"/>
  <c r="K59" i="17"/>
  <c r="J59" i="17"/>
  <c r="I59" i="17"/>
  <c r="P57" i="17"/>
  <c r="O57" i="17"/>
  <c r="N57" i="17"/>
  <c r="K57" i="17"/>
  <c r="J57" i="17"/>
  <c r="I57" i="17"/>
  <c r="P55" i="17"/>
  <c r="O55" i="17"/>
  <c r="N55" i="17"/>
  <c r="K55" i="17"/>
  <c r="J55" i="17"/>
  <c r="I55" i="17"/>
  <c r="P53" i="17"/>
  <c r="O53" i="17"/>
  <c r="N53" i="17"/>
  <c r="K53" i="17"/>
  <c r="J53" i="17"/>
  <c r="I53" i="17"/>
  <c r="P51" i="17"/>
  <c r="O51" i="17"/>
  <c r="N51" i="17"/>
  <c r="K51" i="17"/>
  <c r="J51" i="17"/>
  <c r="I51" i="17"/>
  <c r="P39" i="17"/>
  <c r="O39" i="17"/>
  <c r="N39" i="17"/>
  <c r="K39" i="17"/>
  <c r="J39" i="17"/>
  <c r="I39" i="17"/>
  <c r="P37" i="17"/>
  <c r="O37" i="17"/>
  <c r="N37" i="17"/>
  <c r="K37" i="17"/>
  <c r="J37" i="17"/>
  <c r="I37" i="17"/>
  <c r="P35" i="17"/>
  <c r="O35" i="17"/>
  <c r="N35" i="17"/>
  <c r="K35" i="17"/>
  <c r="J35" i="17"/>
  <c r="I35" i="17"/>
  <c r="P33" i="17"/>
  <c r="O33" i="17"/>
  <c r="N33" i="17"/>
  <c r="K33" i="17"/>
  <c r="J33" i="17"/>
  <c r="I33" i="17"/>
  <c r="P31" i="17"/>
  <c r="O31" i="17"/>
  <c r="N31" i="17"/>
  <c r="K31" i="17"/>
  <c r="J31" i="17"/>
  <c r="I31" i="17"/>
  <c r="P28" i="17"/>
  <c r="O28" i="17"/>
  <c r="N28" i="17"/>
  <c r="K28" i="17"/>
  <c r="J28" i="17"/>
  <c r="I28" i="17"/>
  <c r="P22" i="17"/>
  <c r="O22" i="17"/>
  <c r="N22" i="17"/>
  <c r="K22" i="17"/>
  <c r="J22" i="17"/>
  <c r="I22" i="17"/>
  <c r="O17" i="17"/>
  <c r="N17" i="17"/>
  <c r="K17" i="17"/>
  <c r="J17" i="17"/>
  <c r="I17" i="17"/>
  <c r="P15" i="17"/>
  <c r="O15" i="17"/>
  <c r="N15" i="17"/>
  <c r="K15" i="17"/>
  <c r="J15" i="17"/>
  <c r="I15" i="17"/>
  <c r="P12" i="17"/>
  <c r="O12" i="17"/>
  <c r="N12" i="17"/>
  <c r="K12" i="17"/>
  <c r="J12" i="17"/>
  <c r="I12" i="17"/>
  <c r="O7" i="17"/>
  <c r="P69" i="5"/>
  <c r="O69" i="5"/>
  <c r="N69" i="5"/>
  <c r="K69" i="5"/>
  <c r="J69" i="5"/>
  <c r="I69" i="5"/>
  <c r="P67" i="5"/>
  <c r="O67" i="5"/>
  <c r="N67" i="5"/>
  <c r="K67" i="5"/>
  <c r="J67" i="5"/>
  <c r="I67" i="5"/>
  <c r="P65" i="5"/>
  <c r="O65" i="5"/>
  <c r="N65" i="5"/>
  <c r="K65" i="5"/>
  <c r="J65" i="5"/>
  <c r="I65" i="5"/>
  <c r="P63" i="5"/>
  <c r="O63" i="5"/>
  <c r="N63" i="5"/>
  <c r="K63" i="5"/>
  <c r="J63" i="5"/>
  <c r="I63" i="5"/>
  <c r="P59" i="5"/>
  <c r="O59" i="5"/>
  <c r="N59" i="5"/>
  <c r="K59" i="5"/>
  <c r="J59" i="5"/>
  <c r="I59" i="5"/>
  <c r="P57" i="5"/>
  <c r="O57" i="5"/>
  <c r="N57" i="5"/>
  <c r="K57" i="5"/>
  <c r="J57" i="5"/>
  <c r="I57" i="5"/>
  <c r="P55" i="5"/>
  <c r="O55" i="5"/>
  <c r="N55" i="5"/>
  <c r="K55" i="5"/>
  <c r="J55" i="5"/>
  <c r="I55" i="5"/>
  <c r="P53" i="5"/>
  <c r="O53" i="5"/>
  <c r="N53" i="5"/>
  <c r="K53" i="5"/>
  <c r="J53" i="5"/>
  <c r="I53" i="5"/>
  <c r="P51" i="5"/>
  <c r="O51" i="5"/>
  <c r="N51" i="5"/>
  <c r="K51" i="5"/>
  <c r="J51" i="5"/>
  <c r="I51" i="5"/>
  <c r="P39" i="5"/>
  <c r="O39" i="5"/>
  <c r="N39" i="5"/>
  <c r="K39" i="5"/>
  <c r="J39" i="5"/>
  <c r="I39" i="5"/>
  <c r="P37" i="5"/>
  <c r="O37" i="5"/>
  <c r="N37" i="5"/>
  <c r="K37" i="5"/>
  <c r="J37" i="5"/>
  <c r="I37" i="5"/>
  <c r="P35" i="5"/>
  <c r="O35" i="5"/>
  <c r="N35" i="5"/>
  <c r="K35" i="5"/>
  <c r="J35" i="5"/>
  <c r="I35" i="5"/>
  <c r="P33" i="5"/>
  <c r="O33" i="5"/>
  <c r="N33" i="5"/>
  <c r="K33" i="5"/>
  <c r="J33" i="5"/>
  <c r="I33" i="5"/>
  <c r="P31" i="5"/>
  <c r="O31" i="5"/>
  <c r="N31" i="5"/>
  <c r="K31" i="5"/>
  <c r="J31" i="5"/>
  <c r="I31" i="5"/>
  <c r="P28" i="5"/>
  <c r="O28" i="5"/>
  <c r="N28" i="5"/>
  <c r="K28" i="5"/>
  <c r="J28" i="5"/>
  <c r="I28" i="5"/>
  <c r="P22" i="5"/>
  <c r="O22" i="5"/>
  <c r="N22" i="5"/>
  <c r="K22" i="5"/>
  <c r="J22" i="5"/>
  <c r="I22" i="5"/>
  <c r="O17" i="5"/>
  <c r="N17" i="5"/>
  <c r="K17" i="5"/>
  <c r="J17" i="5"/>
  <c r="I17" i="5"/>
  <c r="P15" i="5"/>
  <c r="O15" i="5"/>
  <c r="N15" i="5"/>
  <c r="K15" i="5"/>
  <c r="J15" i="5"/>
  <c r="I15" i="5"/>
  <c r="P12" i="5"/>
  <c r="O12" i="5"/>
  <c r="N12" i="5"/>
  <c r="K12" i="5"/>
  <c r="J12" i="5"/>
  <c r="I12" i="5"/>
  <c r="O7" i="5"/>
  <c r="S59" i="18" l="1"/>
  <c r="T59" i="5"/>
  <c r="T69" i="5"/>
  <c r="T35" i="17"/>
  <c r="S53" i="5"/>
  <c r="T33" i="17"/>
  <c r="U69" i="17"/>
  <c r="S67" i="11"/>
  <c r="S67" i="13"/>
  <c r="U69" i="13"/>
  <c r="T28" i="18"/>
  <c r="T37" i="18"/>
  <c r="T67" i="18"/>
  <c r="T12" i="11"/>
  <c r="T12" i="18"/>
  <c r="T31" i="18"/>
  <c r="T39" i="18"/>
  <c r="T63" i="18"/>
  <c r="S67" i="19"/>
  <c r="T37" i="14"/>
  <c r="S35" i="20"/>
  <c r="S53" i="20"/>
  <c r="U53" i="17"/>
  <c r="T39" i="17"/>
  <c r="T57" i="17"/>
  <c r="S12" i="11"/>
  <c r="T37" i="11"/>
  <c r="S69" i="18"/>
  <c r="T12" i="19"/>
  <c r="S37" i="14"/>
  <c r="S37" i="5"/>
  <c r="T22" i="5"/>
  <c r="S35" i="11"/>
  <c r="U39" i="18"/>
  <c r="T67" i="19"/>
  <c r="S28" i="11"/>
  <c r="S55" i="11"/>
  <c r="U65" i="11"/>
  <c r="S37" i="13"/>
  <c r="S55" i="13"/>
  <c r="U57" i="13"/>
  <c r="T69" i="14"/>
  <c r="U12" i="20"/>
  <c r="S17" i="20"/>
  <c r="S28" i="20"/>
  <c r="T28" i="20"/>
  <c r="U39" i="5"/>
  <c r="S31" i="17"/>
  <c r="T67" i="20"/>
  <c r="U28" i="14"/>
  <c r="S53" i="14"/>
  <c r="S69" i="20"/>
  <c r="T15" i="5"/>
  <c r="T65" i="11"/>
  <c r="S15" i="13"/>
  <c r="T65" i="13"/>
  <c r="S51" i="18"/>
  <c r="S65" i="18"/>
  <c r="U28" i="19"/>
  <c r="T33" i="19"/>
  <c r="U37" i="19"/>
  <c r="T63" i="17"/>
  <c r="T69" i="11"/>
  <c r="S33" i="5"/>
  <c r="U35" i="5"/>
  <c r="S59" i="5"/>
  <c r="T12" i="17"/>
  <c r="S22" i="17"/>
  <c r="T22" i="11"/>
  <c r="U33" i="11"/>
  <c r="U51" i="11"/>
  <c r="T22" i="13"/>
  <c r="T35" i="13"/>
  <c r="T53" i="13"/>
  <c r="S65" i="13"/>
  <c r="U31" i="18"/>
  <c r="U53" i="19"/>
  <c r="S12" i="20"/>
  <c r="T33" i="20"/>
  <c r="U67" i="20"/>
  <c r="S53" i="19"/>
  <c r="S31" i="5"/>
  <c r="T35" i="5"/>
  <c r="U15" i="17"/>
  <c r="U39" i="17"/>
  <c r="U57" i="17"/>
  <c r="S63" i="17"/>
  <c r="U28" i="20"/>
  <c r="T37" i="20"/>
  <c r="U65" i="13"/>
  <c r="T33" i="18"/>
  <c r="S31" i="19"/>
  <c r="U33" i="19"/>
  <c r="S57" i="19"/>
  <c r="S63" i="19"/>
  <c r="T12" i="5"/>
  <c r="S17" i="17"/>
  <c r="S51" i="17"/>
  <c r="T55" i="11"/>
  <c r="T17" i="13"/>
  <c r="U28" i="18"/>
  <c r="S35" i="18"/>
  <c r="U37" i="18"/>
  <c r="T35" i="19"/>
  <c r="T53" i="19"/>
  <c r="S15" i="14"/>
  <c r="S33" i="14"/>
  <c r="U35" i="20"/>
  <c r="U53" i="20"/>
  <c r="L59" i="21"/>
  <c r="S55" i="5"/>
  <c r="U57" i="5"/>
  <c r="U67" i="5"/>
  <c r="T17" i="17"/>
  <c r="T31" i="13"/>
  <c r="T39" i="13"/>
  <c r="T57" i="13"/>
  <c r="U67" i="13"/>
  <c r="T35" i="18"/>
  <c r="T53" i="18"/>
  <c r="S15" i="19"/>
  <c r="S33" i="19"/>
  <c r="T28" i="5"/>
  <c r="T55" i="5"/>
  <c r="T65" i="5"/>
  <c r="T31" i="17"/>
  <c r="S39" i="17"/>
  <c r="T15" i="13"/>
  <c r="S15" i="18"/>
  <c r="U35" i="18"/>
  <c r="S37" i="19"/>
  <c r="U63" i="19"/>
  <c r="S31" i="14"/>
  <c r="U33" i="14"/>
  <c r="S57" i="14"/>
  <c r="S63" i="14"/>
  <c r="S69" i="14"/>
  <c r="S31" i="20"/>
  <c r="S39" i="20"/>
  <c r="T55" i="20"/>
  <c r="S57" i="20"/>
  <c r="S63" i="20"/>
  <c r="S28" i="17"/>
  <c r="S51" i="13"/>
  <c r="U53" i="13"/>
  <c r="S59" i="13"/>
  <c r="T69" i="13"/>
  <c r="U12" i="18"/>
  <c r="S55" i="18"/>
  <c r="T28" i="19"/>
  <c r="S57" i="5"/>
  <c r="S67" i="5"/>
  <c r="S12" i="17"/>
  <c r="U35" i="17"/>
  <c r="S37" i="17"/>
  <c r="T53" i="17"/>
  <c r="S55" i="17"/>
  <c r="T67" i="17"/>
  <c r="T12" i="13"/>
  <c r="S31" i="18"/>
  <c r="U33" i="18"/>
  <c r="S39" i="18"/>
  <c r="T39" i="19"/>
  <c r="T63" i="19"/>
  <c r="U67" i="19"/>
  <c r="U12" i="14"/>
  <c r="U31" i="14"/>
  <c r="S67" i="14"/>
  <c r="S22" i="20"/>
  <c r="U31" i="20"/>
  <c r="U39" i="20"/>
  <c r="U63" i="20"/>
  <c r="U22" i="5"/>
  <c r="U53" i="5"/>
  <c r="U63" i="5"/>
  <c r="U28" i="17"/>
  <c r="S17" i="5"/>
  <c r="T51" i="5"/>
  <c r="T22" i="17"/>
  <c r="T51" i="20"/>
  <c r="S15" i="5"/>
  <c r="U31" i="5"/>
  <c r="T37" i="5"/>
  <c r="T33" i="5"/>
  <c r="U15" i="5"/>
  <c r="S12" i="5"/>
  <c r="U28" i="5"/>
  <c r="T31" i="5"/>
  <c r="S35" i="5"/>
  <c r="S39" i="5"/>
  <c r="S51" i="5"/>
  <c r="S63" i="13"/>
  <c r="S63" i="5"/>
  <c r="T39" i="5"/>
  <c r="U12" i="5"/>
  <c r="T17" i="5"/>
  <c r="S22" i="5"/>
  <c r="S28" i="5"/>
  <c r="U33" i="5"/>
  <c r="U37" i="5"/>
  <c r="T15" i="11"/>
  <c r="S65" i="5"/>
  <c r="S69" i="5"/>
  <c r="U31" i="17"/>
  <c r="S53" i="17"/>
  <c r="S57" i="17"/>
  <c r="U12" i="13"/>
  <c r="U15" i="13"/>
  <c r="U22" i="13"/>
  <c r="U28" i="13"/>
  <c r="U31" i="13"/>
  <c r="U33" i="13"/>
  <c r="U35" i="13"/>
  <c r="U37" i="13"/>
  <c r="U39" i="13"/>
  <c r="U51" i="13"/>
  <c r="U55" i="13"/>
  <c r="S69" i="13"/>
  <c r="T17" i="11"/>
  <c r="S31" i="11"/>
  <c r="S39" i="11"/>
  <c r="S63" i="18"/>
  <c r="U12" i="19"/>
  <c r="G16" i="21"/>
  <c r="L15" i="21"/>
  <c r="U12" i="17"/>
  <c r="U22" i="17"/>
  <c r="T28" i="17"/>
  <c r="S33" i="17"/>
  <c r="S35" i="17"/>
  <c r="U63" i="17"/>
  <c r="U67" i="17"/>
  <c r="S22" i="11"/>
  <c r="T31" i="11"/>
  <c r="T39" i="11"/>
  <c r="U55" i="11"/>
  <c r="S69" i="11"/>
  <c r="T28" i="13"/>
  <c r="T33" i="13"/>
  <c r="T37" i="13"/>
  <c r="T51" i="13"/>
  <c r="T55" i="13"/>
  <c r="U63" i="13"/>
  <c r="S28" i="18"/>
  <c r="S33" i="18"/>
  <c r="S37" i="18"/>
  <c r="S53" i="18"/>
  <c r="S57" i="18"/>
  <c r="T53" i="5"/>
  <c r="T57" i="5"/>
  <c r="T63" i="5"/>
  <c r="T67" i="5"/>
  <c r="S15" i="17"/>
  <c r="U33" i="17"/>
  <c r="T37" i="17"/>
  <c r="T51" i="17"/>
  <c r="T55" i="17"/>
  <c r="S59" i="17"/>
  <c r="S65" i="17"/>
  <c r="S67" i="17"/>
  <c r="S69" i="17"/>
  <c r="T28" i="11"/>
  <c r="S33" i="11"/>
  <c r="S51" i="11"/>
  <c r="S59" i="11"/>
  <c r="U69" i="11"/>
  <c r="T63" i="13"/>
  <c r="T67" i="13"/>
  <c r="S22" i="18"/>
  <c r="U51" i="5"/>
  <c r="U55" i="5"/>
  <c r="U59" i="5"/>
  <c r="U65" i="5"/>
  <c r="U69" i="5"/>
  <c r="T15" i="17"/>
  <c r="U37" i="17"/>
  <c r="U51" i="17"/>
  <c r="U55" i="17"/>
  <c r="T69" i="17"/>
  <c r="S17" i="11"/>
  <c r="T33" i="11"/>
  <c r="T51" i="11"/>
  <c r="S12" i="13"/>
  <c r="S17" i="13"/>
  <c r="S22" i="13"/>
  <c r="S28" i="13"/>
  <c r="S31" i="13"/>
  <c r="S33" i="13"/>
  <c r="S35" i="13"/>
  <c r="S39" i="13"/>
  <c r="S53" i="13"/>
  <c r="S57" i="13"/>
  <c r="S12" i="18"/>
  <c r="S17" i="18"/>
  <c r="T51" i="18"/>
  <c r="T55" i="18"/>
  <c r="T69" i="18"/>
  <c r="S12" i="19"/>
  <c r="S17" i="19"/>
  <c r="S22" i="19"/>
  <c r="S28" i="19"/>
  <c r="U51" i="19"/>
  <c r="U55" i="19"/>
  <c r="U69" i="19"/>
  <c r="T12" i="14"/>
  <c r="T28" i="14"/>
  <c r="T31" i="14"/>
  <c r="T33" i="14"/>
  <c r="S35" i="14"/>
  <c r="S39" i="14"/>
  <c r="T12" i="20"/>
  <c r="S33" i="20"/>
  <c r="S37" i="20"/>
  <c r="S51" i="20"/>
  <c r="S55" i="20"/>
  <c r="S59" i="20"/>
  <c r="S65" i="20"/>
  <c r="U31" i="19"/>
  <c r="T37" i="19"/>
  <c r="S51" i="19"/>
  <c r="S55" i="19"/>
  <c r="S59" i="19"/>
  <c r="S65" i="19"/>
  <c r="S69" i="19"/>
  <c r="U35" i="14"/>
  <c r="U37" i="14"/>
  <c r="U39" i="14"/>
  <c r="T51" i="14"/>
  <c r="T53" i="14"/>
  <c r="T55" i="14"/>
  <c r="T63" i="14"/>
  <c r="T67" i="14"/>
  <c r="U33" i="20"/>
  <c r="U37" i="20"/>
  <c r="U51" i="20"/>
  <c r="U55" i="20"/>
  <c r="T69" i="20"/>
  <c r="S67" i="18"/>
  <c r="U35" i="19"/>
  <c r="U39" i="19"/>
  <c r="T51" i="19"/>
  <c r="T55" i="19"/>
  <c r="T69" i="19"/>
  <c r="S12" i="14"/>
  <c r="S17" i="14"/>
  <c r="S22" i="14"/>
  <c r="S28" i="14"/>
  <c r="U51" i="14"/>
  <c r="U53" i="14"/>
  <c r="U55" i="14"/>
  <c r="U63" i="14"/>
  <c r="U67" i="14"/>
  <c r="U69" i="14"/>
  <c r="S15" i="20"/>
  <c r="U69" i="20"/>
  <c r="U51" i="18"/>
  <c r="U53" i="18"/>
  <c r="U55" i="18"/>
  <c r="U63" i="18"/>
  <c r="U67" i="18"/>
  <c r="U69" i="18"/>
  <c r="T31" i="19"/>
  <c r="S35" i="19"/>
  <c r="S39" i="19"/>
  <c r="T35" i="14"/>
  <c r="T39" i="14"/>
  <c r="S51" i="14"/>
  <c r="S55" i="14"/>
  <c r="S59" i="14"/>
  <c r="S65" i="14"/>
  <c r="T31" i="20"/>
  <c r="T35" i="20"/>
  <c r="T39" i="20"/>
  <c r="T53" i="20"/>
  <c r="T63" i="20"/>
  <c r="S67" i="20"/>
  <c r="G71" i="21"/>
  <c r="L71" i="21" s="1"/>
  <c r="S15" i="11"/>
  <c r="S53" i="11"/>
  <c r="S57" i="11"/>
  <c r="S63" i="11"/>
  <c r="T35" i="11"/>
  <c r="T53" i="11"/>
  <c r="T57" i="11"/>
  <c r="T63" i="11"/>
  <c r="T67" i="11"/>
  <c r="U12" i="11"/>
  <c r="U15" i="11"/>
  <c r="U22" i="11"/>
  <c r="U28" i="11"/>
  <c r="U31" i="11"/>
  <c r="U35" i="11"/>
  <c r="U37" i="11"/>
  <c r="U39" i="11"/>
  <c r="U53" i="11"/>
  <c r="U57" i="11"/>
  <c r="U63" i="11"/>
  <c r="U67" i="11"/>
  <c r="S37" i="11"/>
  <c r="S65" i="11"/>
  <c r="G32" i="21"/>
  <c r="F45" i="21"/>
  <c r="K45" i="21" s="1"/>
  <c r="G68" i="21"/>
  <c r="L22" i="21"/>
  <c r="L39" i="21"/>
  <c r="L57" i="21"/>
  <c r="G19" i="21"/>
  <c r="L19" i="21" s="1"/>
  <c r="K19" i="21"/>
  <c r="L42" i="21"/>
  <c r="L12" i="21"/>
  <c r="L33" i="21"/>
  <c r="L51" i="21"/>
  <c r="L69" i="21"/>
  <c r="K71" i="21"/>
  <c r="G70" i="21"/>
  <c r="E45" i="21"/>
  <c r="J24" i="21"/>
  <c r="D46" i="21"/>
  <c r="F25" i="21"/>
  <c r="E46" i="21"/>
  <c r="L17" i="21"/>
  <c r="J19" i="21"/>
  <c r="G36" i="21"/>
  <c r="G54" i="21"/>
  <c r="G64" i="21"/>
  <c r="J71" i="21"/>
  <c r="G18" i="21"/>
  <c r="D24" i="21"/>
  <c r="L28" i="21"/>
  <c r="L37" i="21"/>
  <c r="L55" i="21"/>
  <c r="L65" i="21"/>
  <c r="I71" i="21"/>
  <c r="F75" i="21" l="1"/>
  <c r="K75" i="21" s="1"/>
  <c r="G24" i="21"/>
  <c r="G45" i="21" s="1"/>
  <c r="G72" i="21"/>
  <c r="G74" i="21" s="1"/>
  <c r="G73" i="21"/>
  <c r="L73" i="21" s="1"/>
  <c r="H73" i="21"/>
  <c r="J45" i="21"/>
  <c r="E75" i="21"/>
  <c r="J75" i="21" s="1"/>
  <c r="D45" i="21"/>
  <c r="I24" i="21"/>
  <c r="F46" i="21"/>
  <c r="G20" i="21"/>
  <c r="D76" i="21"/>
  <c r="E76" i="21"/>
  <c r="O7" i="12"/>
  <c r="P69" i="12"/>
  <c r="O69" i="12"/>
  <c r="N69" i="12"/>
  <c r="K69" i="12"/>
  <c r="J69" i="12"/>
  <c r="I69" i="12"/>
  <c r="P67" i="12"/>
  <c r="O67" i="12"/>
  <c r="N67" i="12"/>
  <c r="K67" i="12"/>
  <c r="J67" i="12"/>
  <c r="I67" i="12"/>
  <c r="P65" i="12"/>
  <c r="O65" i="12"/>
  <c r="N65" i="12"/>
  <c r="K65" i="12"/>
  <c r="J65" i="12"/>
  <c r="I65" i="12"/>
  <c r="P63" i="12"/>
  <c r="O63" i="12"/>
  <c r="N63" i="12"/>
  <c r="K63" i="12"/>
  <c r="J63" i="12"/>
  <c r="I63" i="12"/>
  <c r="Q59" i="12"/>
  <c r="P59" i="12"/>
  <c r="O59" i="12"/>
  <c r="N59" i="12"/>
  <c r="K59" i="12"/>
  <c r="J59" i="12"/>
  <c r="I59" i="12"/>
  <c r="P57" i="12"/>
  <c r="O57" i="12"/>
  <c r="N57" i="12"/>
  <c r="K57" i="12"/>
  <c r="J57" i="12"/>
  <c r="I57" i="12"/>
  <c r="P55" i="12"/>
  <c r="O55" i="12"/>
  <c r="N55" i="12"/>
  <c r="K55" i="12"/>
  <c r="J55" i="12"/>
  <c r="I55" i="12"/>
  <c r="P53" i="12"/>
  <c r="O53" i="12"/>
  <c r="N53" i="12"/>
  <c r="K53" i="12"/>
  <c r="J53" i="12"/>
  <c r="I53" i="12"/>
  <c r="P51" i="12"/>
  <c r="O51" i="12"/>
  <c r="N51" i="12"/>
  <c r="K51" i="12"/>
  <c r="J51" i="12"/>
  <c r="I51" i="12"/>
  <c r="P39" i="12"/>
  <c r="O39" i="12"/>
  <c r="N39" i="12"/>
  <c r="K39" i="12"/>
  <c r="J39" i="12"/>
  <c r="I39" i="12"/>
  <c r="P37" i="12"/>
  <c r="O37" i="12"/>
  <c r="N37" i="12"/>
  <c r="K37" i="12"/>
  <c r="J37" i="12"/>
  <c r="I37" i="12"/>
  <c r="P35" i="12"/>
  <c r="O35" i="12"/>
  <c r="N35" i="12"/>
  <c r="K35" i="12"/>
  <c r="J35" i="12"/>
  <c r="I35" i="12"/>
  <c r="P33" i="12"/>
  <c r="O33" i="12"/>
  <c r="N33" i="12"/>
  <c r="K33" i="12"/>
  <c r="J33" i="12"/>
  <c r="I33" i="12"/>
  <c r="P31" i="12"/>
  <c r="O31" i="12"/>
  <c r="N31" i="12"/>
  <c r="K31" i="12"/>
  <c r="J31" i="12"/>
  <c r="I31" i="12"/>
  <c r="P28" i="12"/>
  <c r="O28" i="12"/>
  <c r="N28" i="12"/>
  <c r="K28" i="12"/>
  <c r="J28" i="12"/>
  <c r="I28" i="12"/>
  <c r="P22" i="12"/>
  <c r="O22" i="12"/>
  <c r="N22" i="12"/>
  <c r="K22" i="12"/>
  <c r="J22" i="12"/>
  <c r="I22" i="12"/>
  <c r="O17" i="12"/>
  <c r="N17" i="12"/>
  <c r="K17" i="12"/>
  <c r="J17" i="12"/>
  <c r="I17" i="12"/>
  <c r="O15" i="12"/>
  <c r="P15" i="12"/>
  <c r="N15" i="12"/>
  <c r="J15" i="12"/>
  <c r="K15" i="12"/>
  <c r="I15" i="12"/>
  <c r="J12" i="12"/>
  <c r="K12" i="12"/>
  <c r="I12" i="12"/>
  <c r="O12" i="12"/>
  <c r="P12" i="12"/>
  <c r="N12" i="12"/>
  <c r="U12" i="12" l="1"/>
  <c r="T12" i="12"/>
  <c r="U65" i="12"/>
  <c r="S15" i="12"/>
  <c r="T31" i="12"/>
  <c r="T39" i="12"/>
  <c r="S67" i="12"/>
  <c r="L24" i="21"/>
  <c r="S28" i="12"/>
  <c r="S55" i="12"/>
  <c r="T37" i="12"/>
  <c r="T28" i="12"/>
  <c r="S53" i="12"/>
  <c r="U63" i="12"/>
  <c r="U59" i="12"/>
  <c r="T69" i="12"/>
  <c r="S65" i="12"/>
  <c r="T59" i="12"/>
  <c r="T65" i="12"/>
  <c r="U28" i="12"/>
  <c r="T22" i="12"/>
  <c r="T35" i="12"/>
  <c r="S63" i="12"/>
  <c r="S33" i="12"/>
  <c r="S51" i="12"/>
  <c r="T57" i="12"/>
  <c r="S59" i="12"/>
  <c r="U15" i="12"/>
  <c r="U57" i="12"/>
  <c r="S12" i="12"/>
  <c r="T15" i="12"/>
  <c r="T17" i="12"/>
  <c r="S31" i="12"/>
  <c r="U33" i="12"/>
  <c r="S57" i="12"/>
  <c r="U22" i="12"/>
  <c r="U51" i="12"/>
  <c r="U53" i="12"/>
  <c r="U55" i="12"/>
  <c r="S17" i="12"/>
  <c r="S22" i="12"/>
  <c r="U31" i="12"/>
  <c r="U67" i="12"/>
  <c r="U69" i="12"/>
  <c r="T33" i="12"/>
  <c r="S35" i="12"/>
  <c r="S37" i="12"/>
  <c r="S39" i="12"/>
  <c r="S69" i="12"/>
  <c r="U35" i="12"/>
  <c r="U37" i="12"/>
  <c r="U39" i="12"/>
  <c r="T51" i="12"/>
  <c r="T53" i="12"/>
  <c r="T55" i="12"/>
  <c r="T63" i="12"/>
  <c r="T67" i="12"/>
  <c r="I45" i="21"/>
  <c r="D75" i="21"/>
  <c r="I75" i="21" s="1"/>
  <c r="G75" i="21"/>
  <c r="L75" i="21" s="1"/>
  <c r="L45" i="21"/>
  <c r="G25" i="21"/>
  <c r="F76" i="21"/>
  <c r="G46" i="21" l="1"/>
  <c r="G76" i="21" l="1"/>
  <c r="F18" i="14" l="1"/>
  <c r="P17" i="14" s="1"/>
  <c r="U17" i="14" s="1"/>
  <c r="E18" i="14"/>
  <c r="F18" i="20"/>
  <c r="E18" i="20"/>
  <c r="O17" i="20" s="1"/>
  <c r="T17" i="20" s="1"/>
  <c r="G73" i="20"/>
  <c r="D72" i="20"/>
  <c r="G71" i="20"/>
  <c r="F71" i="20"/>
  <c r="E71" i="20"/>
  <c r="D71" i="20"/>
  <c r="G69" i="20"/>
  <c r="G67" i="20"/>
  <c r="F66" i="20"/>
  <c r="E66" i="20"/>
  <c r="G65" i="20"/>
  <c r="G63" i="20"/>
  <c r="F60" i="20"/>
  <c r="P59" i="20" s="1"/>
  <c r="U59" i="20" s="1"/>
  <c r="E60" i="20"/>
  <c r="O59" i="20" s="1"/>
  <c r="T59" i="20" s="1"/>
  <c r="G59" i="20"/>
  <c r="F58" i="20"/>
  <c r="P57" i="20" s="1"/>
  <c r="U57" i="20" s="1"/>
  <c r="E58" i="20"/>
  <c r="O57" i="20" s="1"/>
  <c r="T57" i="20" s="1"/>
  <c r="G57" i="20"/>
  <c r="L57" i="20" s="1"/>
  <c r="G55" i="20"/>
  <c r="G53" i="20"/>
  <c r="G51" i="20"/>
  <c r="F43" i="20"/>
  <c r="P42" i="20" s="1"/>
  <c r="E43" i="20"/>
  <c r="O42" i="20" s="1"/>
  <c r="D43" i="20"/>
  <c r="N42" i="20" s="1"/>
  <c r="G42" i="20"/>
  <c r="F42" i="20"/>
  <c r="K42" i="20" s="1"/>
  <c r="E42" i="20"/>
  <c r="J42" i="20" s="1"/>
  <c r="D42" i="20"/>
  <c r="I42" i="20" s="1"/>
  <c r="G39" i="20"/>
  <c r="G37" i="20"/>
  <c r="G35" i="20"/>
  <c r="G33" i="20"/>
  <c r="L33" i="20" s="1"/>
  <c r="G31" i="20"/>
  <c r="G28" i="20"/>
  <c r="F23" i="20"/>
  <c r="P22" i="20" s="1"/>
  <c r="U22" i="20" s="1"/>
  <c r="E23" i="20"/>
  <c r="O22" i="20" s="1"/>
  <c r="T22" i="20" s="1"/>
  <c r="G22" i="20"/>
  <c r="L22" i="20" s="1"/>
  <c r="D20" i="20"/>
  <c r="N19" i="20" s="1"/>
  <c r="F19" i="20"/>
  <c r="E19" i="20"/>
  <c r="D19" i="20"/>
  <c r="G17" i="20"/>
  <c r="F16" i="20"/>
  <c r="P15" i="20" s="1"/>
  <c r="U15" i="20" s="1"/>
  <c r="E16" i="20"/>
  <c r="G15" i="20"/>
  <c r="G12" i="20"/>
  <c r="F18" i="19"/>
  <c r="P17" i="19" s="1"/>
  <c r="U17" i="19" s="1"/>
  <c r="E18" i="19"/>
  <c r="O17" i="19" s="1"/>
  <c r="T17" i="19" s="1"/>
  <c r="G73" i="19"/>
  <c r="D72" i="19"/>
  <c r="G71" i="19"/>
  <c r="F71" i="19"/>
  <c r="E71" i="19"/>
  <c r="D71" i="19"/>
  <c r="G69" i="19"/>
  <c r="G67" i="19"/>
  <c r="F66" i="19"/>
  <c r="E66" i="19"/>
  <c r="G65" i="19"/>
  <c r="G63" i="19"/>
  <c r="F60" i="19"/>
  <c r="P59" i="19" s="1"/>
  <c r="U59" i="19" s="1"/>
  <c r="E60" i="19"/>
  <c r="O59" i="19" s="1"/>
  <c r="T59" i="19" s="1"/>
  <c r="G59" i="19"/>
  <c r="L59" i="19" s="1"/>
  <c r="F58" i="19"/>
  <c r="P57" i="19" s="1"/>
  <c r="U57" i="19" s="1"/>
  <c r="E58" i="19"/>
  <c r="O57" i="19" s="1"/>
  <c r="T57" i="19" s="1"/>
  <c r="G57" i="19"/>
  <c r="G55" i="19"/>
  <c r="L55" i="19" s="1"/>
  <c r="G53" i="19"/>
  <c r="G51" i="19"/>
  <c r="F43" i="19"/>
  <c r="P42" i="19" s="1"/>
  <c r="E43" i="19"/>
  <c r="O42" i="19" s="1"/>
  <c r="D43" i="19"/>
  <c r="G42" i="19"/>
  <c r="F42" i="19"/>
  <c r="K42" i="19" s="1"/>
  <c r="E42" i="19"/>
  <c r="J42" i="19" s="1"/>
  <c r="D42" i="19"/>
  <c r="I42" i="19" s="1"/>
  <c r="G39" i="19"/>
  <c r="G37" i="19"/>
  <c r="G35" i="19"/>
  <c r="G33" i="19"/>
  <c r="L33" i="19" s="1"/>
  <c r="G31" i="19"/>
  <c r="G28" i="19"/>
  <c r="F23" i="19"/>
  <c r="P22" i="19" s="1"/>
  <c r="U22" i="19" s="1"/>
  <c r="E23" i="19"/>
  <c r="O22" i="19" s="1"/>
  <c r="T22" i="19" s="1"/>
  <c r="G22" i="19"/>
  <c r="D20" i="19"/>
  <c r="F19" i="19"/>
  <c r="E19" i="19"/>
  <c r="D19" i="19"/>
  <c r="G17" i="19"/>
  <c r="F16" i="19"/>
  <c r="P15" i="19" s="1"/>
  <c r="U15" i="19" s="1"/>
  <c r="E16" i="19"/>
  <c r="O15" i="19" s="1"/>
  <c r="T15" i="19" s="1"/>
  <c r="G15" i="19"/>
  <c r="G12" i="19"/>
  <c r="G73" i="14"/>
  <c r="D72" i="14"/>
  <c r="G71" i="14"/>
  <c r="L71" i="14" s="1"/>
  <c r="F71" i="14"/>
  <c r="E71" i="14"/>
  <c r="D71" i="14"/>
  <c r="G69" i="14"/>
  <c r="G67" i="14"/>
  <c r="F66" i="14"/>
  <c r="E66" i="14"/>
  <c r="G65" i="14"/>
  <c r="G63" i="14"/>
  <c r="F60" i="14"/>
  <c r="P59" i="14" s="1"/>
  <c r="U59" i="14" s="1"/>
  <c r="E60" i="14"/>
  <c r="O59" i="14" s="1"/>
  <c r="T59" i="14" s="1"/>
  <c r="G59" i="14"/>
  <c r="F58" i="14"/>
  <c r="P57" i="14" s="1"/>
  <c r="U57" i="14" s="1"/>
  <c r="E58" i="14"/>
  <c r="O57" i="14" s="1"/>
  <c r="T57" i="14" s="1"/>
  <c r="G57" i="14"/>
  <c r="L57" i="14" s="1"/>
  <c r="G55" i="14"/>
  <c r="G53" i="14"/>
  <c r="G51" i="14"/>
  <c r="F43" i="14"/>
  <c r="P42" i="14" s="1"/>
  <c r="E43" i="14"/>
  <c r="O42" i="14" s="1"/>
  <c r="D43" i="14"/>
  <c r="N42" i="14" s="1"/>
  <c r="G42" i="14"/>
  <c r="F42" i="14"/>
  <c r="K42" i="14" s="1"/>
  <c r="E42" i="14"/>
  <c r="J42" i="14" s="1"/>
  <c r="D42" i="14"/>
  <c r="I42" i="14" s="1"/>
  <c r="G39" i="14"/>
  <c r="G37" i="14"/>
  <c r="G35" i="14"/>
  <c r="G33" i="14"/>
  <c r="G31" i="14"/>
  <c r="G28" i="14"/>
  <c r="F23" i="14"/>
  <c r="P22" i="14" s="1"/>
  <c r="U22" i="14" s="1"/>
  <c r="E23" i="14"/>
  <c r="O22" i="14" s="1"/>
  <c r="T22" i="14" s="1"/>
  <c r="G22" i="14"/>
  <c r="L22" i="14" s="1"/>
  <c r="D20" i="14"/>
  <c r="N19" i="14" s="1"/>
  <c r="F19" i="14"/>
  <c r="E19" i="14"/>
  <c r="D19" i="14"/>
  <c r="G17" i="14"/>
  <c r="F16" i="14"/>
  <c r="P15" i="14" s="1"/>
  <c r="U15" i="14" s="1"/>
  <c r="E16" i="14"/>
  <c r="O15" i="14" s="1"/>
  <c r="T15" i="14" s="1"/>
  <c r="G15" i="14"/>
  <c r="G12" i="14"/>
  <c r="L12" i="14" s="1"/>
  <c r="F71" i="18"/>
  <c r="K71" i="18" s="1"/>
  <c r="F72" i="13"/>
  <c r="P71" i="13" s="1"/>
  <c r="F71" i="13"/>
  <c r="F72" i="12"/>
  <c r="P71" i="12" s="1"/>
  <c r="F71" i="12"/>
  <c r="K71" i="12" s="1"/>
  <c r="F71" i="11"/>
  <c r="F71" i="17"/>
  <c r="O171" i="10"/>
  <c r="F71" i="5"/>
  <c r="K71" i="5" s="1"/>
  <c r="F58" i="18"/>
  <c r="P57" i="18" s="1"/>
  <c r="U57" i="18" s="1"/>
  <c r="E58" i="18"/>
  <c r="O57" i="18" s="1"/>
  <c r="T57" i="18" s="1"/>
  <c r="F23" i="18"/>
  <c r="P22" i="18" s="1"/>
  <c r="U22" i="18" s="1"/>
  <c r="E23" i="18"/>
  <c r="O22" i="18" s="1"/>
  <c r="T22" i="18" s="1"/>
  <c r="F18" i="18"/>
  <c r="P17" i="18" s="1"/>
  <c r="U17" i="18" s="1"/>
  <c r="E18" i="18"/>
  <c r="O17" i="18" s="1"/>
  <c r="T17" i="18" s="1"/>
  <c r="F16" i="18"/>
  <c r="P15" i="18" s="1"/>
  <c r="U15" i="18" s="1"/>
  <c r="E16" i="18"/>
  <c r="O15" i="18" s="1"/>
  <c r="T15" i="18" s="1"/>
  <c r="G73" i="18"/>
  <c r="L73" i="18" s="1"/>
  <c r="D72" i="18"/>
  <c r="G71" i="18"/>
  <c r="E71" i="18"/>
  <c r="D71" i="18"/>
  <c r="G69" i="18"/>
  <c r="G67" i="18"/>
  <c r="F66" i="18"/>
  <c r="E66" i="18"/>
  <c r="G65" i="18"/>
  <c r="G63" i="18"/>
  <c r="L63" i="18" s="1"/>
  <c r="F60" i="18"/>
  <c r="P59" i="18" s="1"/>
  <c r="U59" i="18" s="1"/>
  <c r="E60" i="18"/>
  <c r="O59" i="18" s="1"/>
  <c r="T59" i="18" s="1"/>
  <c r="G59" i="18"/>
  <c r="G57" i="18"/>
  <c r="G55" i="18"/>
  <c r="G53" i="18"/>
  <c r="L53" i="18" s="1"/>
  <c r="G51" i="18"/>
  <c r="F43" i="18"/>
  <c r="P42" i="18" s="1"/>
  <c r="E43" i="18"/>
  <c r="O42" i="18" s="1"/>
  <c r="D43" i="18"/>
  <c r="N42" i="18" s="1"/>
  <c r="G42" i="18"/>
  <c r="F42" i="18"/>
  <c r="K42" i="18" s="1"/>
  <c r="E42" i="18"/>
  <c r="J42" i="18" s="1"/>
  <c r="D42" i="18"/>
  <c r="I42" i="18" s="1"/>
  <c r="G39" i="18"/>
  <c r="G37" i="18"/>
  <c r="G35" i="18"/>
  <c r="G33" i="18"/>
  <c r="G31" i="18"/>
  <c r="G28" i="18"/>
  <c r="G22" i="18"/>
  <c r="D20" i="18"/>
  <c r="F19" i="18"/>
  <c r="E19" i="18"/>
  <c r="D19" i="18"/>
  <c r="G17" i="18"/>
  <c r="G15" i="18"/>
  <c r="G12" i="18"/>
  <c r="G73" i="13"/>
  <c r="E72" i="13"/>
  <c r="O71" i="13" s="1"/>
  <c r="D72" i="13"/>
  <c r="G71" i="13"/>
  <c r="L71" i="13" s="1"/>
  <c r="E71" i="13"/>
  <c r="D71" i="13"/>
  <c r="G69" i="13"/>
  <c r="G67" i="13"/>
  <c r="G65" i="13"/>
  <c r="G63" i="13"/>
  <c r="F60" i="13"/>
  <c r="E60" i="13"/>
  <c r="O59" i="13" s="1"/>
  <c r="T59" i="13" s="1"/>
  <c r="G59" i="13"/>
  <c r="L59" i="13" s="1"/>
  <c r="G57" i="13"/>
  <c r="G55" i="13"/>
  <c r="G53" i="13"/>
  <c r="G51" i="13"/>
  <c r="G45" i="13"/>
  <c r="L45" i="13" s="1"/>
  <c r="F43" i="13"/>
  <c r="P42" i="13" s="1"/>
  <c r="E43" i="13"/>
  <c r="O42" i="13" s="1"/>
  <c r="D43" i="13"/>
  <c r="N42" i="13" s="1"/>
  <c r="G42" i="13"/>
  <c r="F42" i="13"/>
  <c r="K42" i="13" s="1"/>
  <c r="E42" i="13"/>
  <c r="J42" i="13" s="1"/>
  <c r="D42" i="13"/>
  <c r="I42" i="13" s="1"/>
  <c r="G39" i="13"/>
  <c r="G37" i="13"/>
  <c r="G35" i="13"/>
  <c r="G33" i="13"/>
  <c r="G31" i="13"/>
  <c r="G28" i="13"/>
  <c r="G22" i="13"/>
  <c r="E20" i="13"/>
  <c r="D20" i="13"/>
  <c r="F19" i="13"/>
  <c r="E19" i="13"/>
  <c r="D19" i="13"/>
  <c r="F18" i="13"/>
  <c r="G17" i="13"/>
  <c r="L17" i="13" s="1"/>
  <c r="G15" i="13"/>
  <c r="G12" i="13"/>
  <c r="G73" i="12"/>
  <c r="L73" i="12" s="1"/>
  <c r="E72" i="12"/>
  <c r="D72" i="12"/>
  <c r="G71" i="12"/>
  <c r="E71" i="12"/>
  <c r="D71" i="12"/>
  <c r="G69" i="12"/>
  <c r="G67" i="12"/>
  <c r="G65" i="12"/>
  <c r="G63" i="12"/>
  <c r="G59" i="12"/>
  <c r="L59" i="12" s="1"/>
  <c r="V59" i="12" s="1"/>
  <c r="G57" i="12"/>
  <c r="L57" i="12" s="1"/>
  <c r="G55" i="12"/>
  <c r="G53" i="12"/>
  <c r="G51" i="12"/>
  <c r="G45" i="12"/>
  <c r="F43" i="12"/>
  <c r="P42" i="12" s="1"/>
  <c r="E43" i="12"/>
  <c r="D43" i="12"/>
  <c r="N42" i="12" s="1"/>
  <c r="G42" i="12"/>
  <c r="F42" i="12"/>
  <c r="K42" i="12" s="1"/>
  <c r="E42" i="12"/>
  <c r="J42" i="12" s="1"/>
  <c r="D42" i="12"/>
  <c r="I42" i="12" s="1"/>
  <c r="G39" i="12"/>
  <c r="G37" i="12"/>
  <c r="L37" i="12" s="1"/>
  <c r="G35" i="12"/>
  <c r="G33" i="12"/>
  <c r="G31" i="12"/>
  <c r="G28" i="12"/>
  <c r="G22" i="12"/>
  <c r="E20" i="12"/>
  <c r="O19" i="12" s="1"/>
  <c r="D20" i="12"/>
  <c r="N19" i="12" s="1"/>
  <c r="F19" i="12"/>
  <c r="K19" i="12" s="1"/>
  <c r="E19" i="12"/>
  <c r="D19" i="12"/>
  <c r="F18" i="12"/>
  <c r="P17" i="12" s="1"/>
  <c r="U17" i="12" s="1"/>
  <c r="G17" i="12"/>
  <c r="G15" i="12"/>
  <c r="G12" i="12"/>
  <c r="E66" i="17"/>
  <c r="F66" i="17"/>
  <c r="P65" i="17" s="1"/>
  <c r="U65" i="17" s="1"/>
  <c r="E60" i="17"/>
  <c r="O59" i="17" s="1"/>
  <c r="T59" i="17" s="1"/>
  <c r="F60" i="17"/>
  <c r="P59" i="17" s="1"/>
  <c r="U59" i="17" s="1"/>
  <c r="G73" i="17"/>
  <c r="L73" i="17" s="1"/>
  <c r="D72" i="17"/>
  <c r="N71" i="17" s="1"/>
  <c r="G71" i="17"/>
  <c r="G72" i="17" s="1"/>
  <c r="Q71" i="17" s="1"/>
  <c r="E71" i="17"/>
  <c r="D71" i="17"/>
  <c r="G69" i="17"/>
  <c r="L69" i="17" s="1"/>
  <c r="G67" i="17"/>
  <c r="L67" i="17" s="1"/>
  <c r="G65" i="17"/>
  <c r="L65" i="17" s="1"/>
  <c r="G63" i="17"/>
  <c r="G59" i="17"/>
  <c r="L59" i="17" s="1"/>
  <c r="G57" i="17"/>
  <c r="L57" i="17" s="1"/>
  <c r="G55" i="17"/>
  <c r="L55" i="17" s="1"/>
  <c r="G53" i="17"/>
  <c r="G51" i="17"/>
  <c r="L51" i="17" s="1"/>
  <c r="G45" i="17"/>
  <c r="L45" i="17" s="1"/>
  <c r="F43" i="17"/>
  <c r="P42" i="17" s="1"/>
  <c r="E43" i="17"/>
  <c r="O42" i="17" s="1"/>
  <c r="D43" i="17"/>
  <c r="N42" i="17" s="1"/>
  <c r="G42" i="17"/>
  <c r="F42" i="17"/>
  <c r="E42" i="17"/>
  <c r="D42" i="17"/>
  <c r="I42" i="17" s="1"/>
  <c r="G39" i="17"/>
  <c r="G37" i="17"/>
  <c r="G35" i="17"/>
  <c r="G33" i="17"/>
  <c r="G31" i="17"/>
  <c r="G28" i="17"/>
  <c r="G22" i="17"/>
  <c r="L22" i="17" s="1"/>
  <c r="E20" i="17"/>
  <c r="D20" i="17"/>
  <c r="F19" i="17"/>
  <c r="K19" i="17" s="1"/>
  <c r="E19" i="17"/>
  <c r="D19" i="17"/>
  <c r="F18" i="17"/>
  <c r="G17" i="17"/>
  <c r="G15" i="17"/>
  <c r="G12" i="17"/>
  <c r="L12" i="17" s="1"/>
  <c r="F60" i="11"/>
  <c r="P59" i="11" s="1"/>
  <c r="U59" i="11" s="1"/>
  <c r="E60" i="11"/>
  <c r="O59" i="11" s="1"/>
  <c r="T59" i="11" s="1"/>
  <c r="G73" i="11"/>
  <c r="F72" i="11"/>
  <c r="P71" i="11" s="1"/>
  <c r="E72" i="11"/>
  <c r="O71" i="11" s="1"/>
  <c r="D72" i="11"/>
  <c r="G71" i="11"/>
  <c r="E71" i="11"/>
  <c r="D71" i="11"/>
  <c r="G69" i="11"/>
  <c r="G67" i="11"/>
  <c r="L67" i="11" s="1"/>
  <c r="G65" i="11"/>
  <c r="G63" i="11"/>
  <c r="L63" i="11" s="1"/>
  <c r="G59" i="11"/>
  <c r="G57" i="11"/>
  <c r="G55" i="11"/>
  <c r="G53" i="11"/>
  <c r="G51" i="11"/>
  <c r="G45" i="11"/>
  <c r="F43" i="11"/>
  <c r="P42" i="11" s="1"/>
  <c r="E43" i="11"/>
  <c r="O42" i="11" s="1"/>
  <c r="D43" i="11"/>
  <c r="N42" i="11" s="1"/>
  <c r="G42" i="11"/>
  <c r="F42" i="11"/>
  <c r="K42" i="11" s="1"/>
  <c r="E42" i="11"/>
  <c r="J42" i="11" s="1"/>
  <c r="D42" i="11"/>
  <c r="I42" i="11" s="1"/>
  <c r="G39" i="11"/>
  <c r="G37" i="11"/>
  <c r="G35" i="11"/>
  <c r="G33" i="11"/>
  <c r="G31" i="11"/>
  <c r="G28" i="11"/>
  <c r="G22" i="11"/>
  <c r="E20" i="11"/>
  <c r="D20" i="11"/>
  <c r="F19" i="11"/>
  <c r="E19" i="11"/>
  <c r="D19" i="11"/>
  <c r="I19" i="11" s="1"/>
  <c r="F18" i="11"/>
  <c r="G17" i="11"/>
  <c r="L17" i="11" s="1"/>
  <c r="G15" i="11"/>
  <c r="G12" i="11"/>
  <c r="E71" i="5"/>
  <c r="J71" i="5" s="1"/>
  <c r="F72" i="5"/>
  <c r="P71" i="5" s="1"/>
  <c r="D72" i="5"/>
  <c r="N71" i="5" s="1"/>
  <c r="D71" i="5"/>
  <c r="I71" i="5" s="1"/>
  <c r="E42" i="5"/>
  <c r="J42" i="5" s="1"/>
  <c r="D42" i="5"/>
  <c r="I42" i="5" s="1"/>
  <c r="F42" i="5"/>
  <c r="K42" i="5" s="1"/>
  <c r="O113" i="10"/>
  <c r="O164" i="10"/>
  <c r="F18" i="5"/>
  <c r="P17" i="5" s="1"/>
  <c r="U17" i="5" s="1"/>
  <c r="O39" i="10"/>
  <c r="I35" i="10"/>
  <c r="I34" i="10"/>
  <c r="O169" i="10"/>
  <c r="G69" i="5"/>
  <c r="L69" i="5" s="1"/>
  <c r="G33" i="5"/>
  <c r="L33" i="5" s="1"/>
  <c r="O72" i="10"/>
  <c r="O17" i="10"/>
  <c r="O144" i="10"/>
  <c r="O145" i="10" s="1"/>
  <c r="G59" i="5" s="1"/>
  <c r="L59" i="5" s="1"/>
  <c r="O155" i="10"/>
  <c r="G63" i="5" s="1"/>
  <c r="L63" i="5" s="1"/>
  <c r="S71" i="5" l="1"/>
  <c r="S42" i="12"/>
  <c r="T42" i="14"/>
  <c r="U42" i="20"/>
  <c r="G34" i="19"/>
  <c r="Q33" i="19" s="1"/>
  <c r="V33" i="19" s="1"/>
  <c r="G58" i="14"/>
  <c r="Q57" i="14" s="1"/>
  <c r="V57" i="14" s="1"/>
  <c r="U42" i="19"/>
  <c r="G60" i="17"/>
  <c r="Q59" i="17" s="1"/>
  <c r="V59" i="17" s="1"/>
  <c r="D24" i="11"/>
  <c r="I24" i="11" s="1"/>
  <c r="G74" i="17"/>
  <c r="Q73" i="17" s="1"/>
  <c r="V73" i="17" s="1"/>
  <c r="G58" i="12"/>
  <c r="Q57" i="12" s="1"/>
  <c r="V57" i="12" s="1"/>
  <c r="G58" i="20"/>
  <c r="Q57" i="20" s="1"/>
  <c r="V57" i="20" s="1"/>
  <c r="G60" i="13"/>
  <c r="Q59" i="13" s="1"/>
  <c r="V59" i="13" s="1"/>
  <c r="U71" i="5"/>
  <c r="G68" i="17"/>
  <c r="Q67" i="17" s="1"/>
  <c r="V67" i="17" s="1"/>
  <c r="D25" i="12"/>
  <c r="D46" i="12" s="1"/>
  <c r="S42" i="13"/>
  <c r="S42" i="18"/>
  <c r="S42" i="20"/>
  <c r="G13" i="17"/>
  <c r="Q12" i="17" s="1"/>
  <c r="V12" i="17" s="1"/>
  <c r="G66" i="17"/>
  <c r="Q65" i="17" s="1"/>
  <c r="V65" i="17" s="1"/>
  <c r="G38" i="12"/>
  <c r="Q37" i="12" s="1"/>
  <c r="V37" i="12" s="1"/>
  <c r="G64" i="18"/>
  <c r="Q63" i="18" s="1"/>
  <c r="V63" i="18" s="1"/>
  <c r="G60" i="19"/>
  <c r="Q59" i="19" s="1"/>
  <c r="V59" i="19" s="1"/>
  <c r="G70" i="17"/>
  <c r="Q69" i="17" s="1"/>
  <c r="V69" i="17" s="1"/>
  <c r="G75" i="13"/>
  <c r="L75" i="13" s="1"/>
  <c r="D25" i="20"/>
  <c r="N24" i="20" s="1"/>
  <c r="G13" i="14"/>
  <c r="Q12" i="14" s="1"/>
  <c r="V12" i="14" s="1"/>
  <c r="G40" i="17"/>
  <c r="Q39" i="17" s="1"/>
  <c r="L39" i="17"/>
  <c r="D73" i="17"/>
  <c r="I73" i="17" s="1"/>
  <c r="I71" i="17"/>
  <c r="S71" i="17" s="1"/>
  <c r="G40" i="12"/>
  <c r="Q39" i="12" s="1"/>
  <c r="L39" i="12"/>
  <c r="E24" i="13"/>
  <c r="J24" i="13" s="1"/>
  <c r="J19" i="13"/>
  <c r="E73" i="5"/>
  <c r="J73" i="5" s="1"/>
  <c r="G64" i="11"/>
  <c r="Q63" i="11" s="1"/>
  <c r="V63" i="11" s="1"/>
  <c r="G19" i="17"/>
  <c r="L19" i="17" s="1"/>
  <c r="L17" i="17"/>
  <c r="J42" i="17"/>
  <c r="T42" i="17" s="1"/>
  <c r="G64" i="17"/>
  <c r="Q63" i="17" s="1"/>
  <c r="L63" i="17"/>
  <c r="E73" i="17"/>
  <c r="J73" i="17" s="1"/>
  <c r="J71" i="17"/>
  <c r="D24" i="12"/>
  <c r="I24" i="12" s="1"/>
  <c r="I19" i="12"/>
  <c r="S19" i="12" s="1"/>
  <c r="G66" i="12"/>
  <c r="Q65" i="12" s="1"/>
  <c r="L65" i="12"/>
  <c r="F20" i="17"/>
  <c r="P17" i="17"/>
  <c r="U17" i="17" s="1"/>
  <c r="G29" i="17"/>
  <c r="Q28" i="17" s="1"/>
  <c r="L28" i="17"/>
  <c r="K42" i="17"/>
  <c r="U42" i="17" s="1"/>
  <c r="G54" i="17"/>
  <c r="Q53" i="17" s="1"/>
  <c r="L53" i="17"/>
  <c r="H73" i="17"/>
  <c r="L71" i="17"/>
  <c r="V71" i="17" s="1"/>
  <c r="E24" i="12"/>
  <c r="J24" i="12" s="1"/>
  <c r="J19" i="12"/>
  <c r="T19" i="12" s="1"/>
  <c r="G29" i="12"/>
  <c r="Q28" i="12" s="1"/>
  <c r="L28" i="12"/>
  <c r="G54" i="12"/>
  <c r="Q53" i="12" s="1"/>
  <c r="L53" i="12"/>
  <c r="G68" i="12"/>
  <c r="Q67" i="12" s="1"/>
  <c r="L67" i="12"/>
  <c r="G74" i="12"/>
  <c r="Q73" i="12" s="1"/>
  <c r="V73" i="12" s="1"/>
  <c r="D25" i="13"/>
  <c r="N24" i="13" s="1"/>
  <c r="N19" i="13"/>
  <c r="G40" i="13"/>
  <c r="Q39" i="13" s="1"/>
  <c r="L39" i="13"/>
  <c r="D74" i="13"/>
  <c r="N73" i="13" s="1"/>
  <c r="N71" i="13"/>
  <c r="F24" i="18"/>
  <c r="K24" i="18" s="1"/>
  <c r="K19" i="18"/>
  <c r="G40" i="18"/>
  <c r="Q39" i="18" s="1"/>
  <c r="L39" i="18"/>
  <c r="G52" i="18"/>
  <c r="Q51" i="18" s="1"/>
  <c r="L51" i="18"/>
  <c r="E73" i="18"/>
  <c r="J73" i="18" s="1"/>
  <c r="J71" i="18"/>
  <c r="G18" i="11"/>
  <c r="Q17" i="11" s="1"/>
  <c r="V17" i="11" s="1"/>
  <c r="F73" i="12"/>
  <c r="K73" i="12" s="1"/>
  <c r="G40" i="14"/>
  <c r="Q39" i="14" s="1"/>
  <c r="L39" i="14"/>
  <c r="G52" i="14"/>
  <c r="Q51" i="14" s="1"/>
  <c r="L51" i="14"/>
  <c r="D73" i="14"/>
  <c r="I73" i="14" s="1"/>
  <c r="I71" i="14"/>
  <c r="G16" i="19"/>
  <c r="Q15" i="19" s="1"/>
  <c r="L15" i="19"/>
  <c r="G23" i="19"/>
  <c r="Q22" i="19" s="1"/>
  <c r="L22" i="19"/>
  <c r="G38" i="19"/>
  <c r="Q37" i="19" s="1"/>
  <c r="L37" i="19"/>
  <c r="G68" i="19"/>
  <c r="Q67" i="19" s="1"/>
  <c r="L67" i="19"/>
  <c r="E24" i="20"/>
  <c r="J24" i="20" s="1"/>
  <c r="J19" i="20"/>
  <c r="G32" i="20"/>
  <c r="Q31" i="20" s="1"/>
  <c r="L31" i="20"/>
  <c r="G66" i="20"/>
  <c r="Q65" i="20" s="1"/>
  <c r="L65" i="20"/>
  <c r="G72" i="20"/>
  <c r="Q71" i="20" s="1"/>
  <c r="L71" i="20"/>
  <c r="E74" i="12"/>
  <c r="O73" i="12" s="1"/>
  <c r="O71" i="12"/>
  <c r="E73" i="13"/>
  <c r="J73" i="13" s="1"/>
  <c r="J71" i="13"/>
  <c r="T71" i="13" s="1"/>
  <c r="D24" i="18"/>
  <c r="I24" i="18" s="1"/>
  <c r="I19" i="18"/>
  <c r="G70" i="18"/>
  <c r="Q69" i="18" s="1"/>
  <c r="L69" i="18"/>
  <c r="G36" i="14"/>
  <c r="Q35" i="14" s="1"/>
  <c r="L35" i="14"/>
  <c r="G74" i="14"/>
  <c r="Q73" i="14" s="1"/>
  <c r="L73" i="14"/>
  <c r="S42" i="11"/>
  <c r="D24" i="17"/>
  <c r="I24" i="17" s="1"/>
  <c r="I19" i="17"/>
  <c r="G43" i="17"/>
  <c r="Q42" i="17" s="1"/>
  <c r="L42" i="17"/>
  <c r="G70" i="12"/>
  <c r="Q69" i="12" s="1"/>
  <c r="L69" i="12"/>
  <c r="G13" i="13"/>
  <c r="Q12" i="13" s="1"/>
  <c r="L12" i="13"/>
  <c r="G52" i="13"/>
  <c r="Q51" i="13" s="1"/>
  <c r="L51" i="13"/>
  <c r="G64" i="13"/>
  <c r="Q63" i="13" s="1"/>
  <c r="L63" i="13"/>
  <c r="D25" i="18"/>
  <c r="N24" i="18" s="1"/>
  <c r="N19" i="18"/>
  <c r="G72" i="18"/>
  <c r="Q71" i="18" s="1"/>
  <c r="L71" i="18"/>
  <c r="F73" i="13"/>
  <c r="K73" i="13" s="1"/>
  <c r="K71" i="13"/>
  <c r="U71" i="13" s="1"/>
  <c r="G54" i="14"/>
  <c r="Q53" i="14" s="1"/>
  <c r="L53" i="14"/>
  <c r="E73" i="14"/>
  <c r="J73" i="14" s="1"/>
  <c r="J71" i="14"/>
  <c r="G40" i="19"/>
  <c r="Q39" i="19" s="1"/>
  <c r="L39" i="19"/>
  <c r="G52" i="19"/>
  <c r="Q51" i="19" s="1"/>
  <c r="L51" i="19"/>
  <c r="G70" i="19"/>
  <c r="Q69" i="19" s="1"/>
  <c r="L69" i="19"/>
  <c r="F24" i="20"/>
  <c r="K24" i="20" s="1"/>
  <c r="K19" i="20"/>
  <c r="G43" i="20"/>
  <c r="Q42" i="20" s="1"/>
  <c r="L42" i="20"/>
  <c r="E72" i="20"/>
  <c r="O71" i="20" s="1"/>
  <c r="O65" i="20"/>
  <c r="T65" i="20" s="1"/>
  <c r="D74" i="20"/>
  <c r="N73" i="20" s="1"/>
  <c r="N71" i="20"/>
  <c r="G75" i="17"/>
  <c r="L75" i="17" s="1"/>
  <c r="G32" i="17"/>
  <c r="Q31" i="17" s="1"/>
  <c r="L31" i="17"/>
  <c r="G32" i="12"/>
  <c r="Q31" i="12" s="1"/>
  <c r="L31" i="12"/>
  <c r="G56" i="12"/>
  <c r="Q55" i="12" s="1"/>
  <c r="L55" i="12"/>
  <c r="E25" i="13"/>
  <c r="O24" i="13" s="1"/>
  <c r="O19" i="13"/>
  <c r="T42" i="11"/>
  <c r="E24" i="17"/>
  <c r="J24" i="17" s="1"/>
  <c r="J19" i="17"/>
  <c r="G34" i="17"/>
  <c r="Q33" i="17" s="1"/>
  <c r="L33" i="17"/>
  <c r="S42" i="17"/>
  <c r="G56" i="17"/>
  <c r="Q55" i="17" s="1"/>
  <c r="V55" i="17" s="1"/>
  <c r="F72" i="17"/>
  <c r="P71" i="17" s="1"/>
  <c r="E72" i="17"/>
  <c r="O65" i="17"/>
  <c r="T65" i="17" s="1"/>
  <c r="G34" i="12"/>
  <c r="Q33" i="12" s="1"/>
  <c r="L33" i="12"/>
  <c r="G43" i="12"/>
  <c r="Q42" i="12" s="1"/>
  <c r="L42" i="12"/>
  <c r="D73" i="12"/>
  <c r="I73" i="12" s="1"/>
  <c r="I71" i="12"/>
  <c r="G16" i="13"/>
  <c r="Q15" i="13" s="1"/>
  <c r="L15" i="13"/>
  <c r="G23" i="13"/>
  <c r="Q22" i="13" s="1"/>
  <c r="L22" i="13"/>
  <c r="T42" i="13"/>
  <c r="G54" i="13"/>
  <c r="Q53" i="13" s="1"/>
  <c r="L53" i="13"/>
  <c r="G66" i="13"/>
  <c r="Q65" i="13" s="1"/>
  <c r="L65" i="13"/>
  <c r="G74" i="13"/>
  <c r="Q73" i="13" s="1"/>
  <c r="L73" i="13"/>
  <c r="G23" i="18"/>
  <c r="Q22" i="18" s="1"/>
  <c r="L22" i="18"/>
  <c r="T42" i="18"/>
  <c r="G54" i="18"/>
  <c r="Q53" i="18" s="1"/>
  <c r="V53" i="18" s="1"/>
  <c r="G66" i="18"/>
  <c r="Q65" i="18" s="1"/>
  <c r="L65" i="18"/>
  <c r="D74" i="18"/>
  <c r="N73" i="18" s="1"/>
  <c r="N71" i="18"/>
  <c r="G19" i="14"/>
  <c r="L19" i="14" s="1"/>
  <c r="L17" i="14"/>
  <c r="D25" i="14"/>
  <c r="G56" i="14"/>
  <c r="Q55" i="14" s="1"/>
  <c r="L55" i="14"/>
  <c r="G64" i="14"/>
  <c r="Q63" i="14" s="1"/>
  <c r="L63" i="14"/>
  <c r="F73" i="14"/>
  <c r="K73" i="14" s="1"/>
  <c r="K71" i="14"/>
  <c r="G54" i="19"/>
  <c r="Q53" i="19" s="1"/>
  <c r="L53" i="19"/>
  <c r="D73" i="19"/>
  <c r="I73" i="19" s="1"/>
  <c r="I71" i="19"/>
  <c r="G13" i="20"/>
  <c r="Q12" i="20" s="1"/>
  <c r="L12" i="20"/>
  <c r="G34" i="20"/>
  <c r="Q33" i="20" s="1"/>
  <c r="V33" i="20" s="1"/>
  <c r="F72" i="20"/>
  <c r="P71" i="20" s="1"/>
  <c r="P65" i="20"/>
  <c r="U65" i="20" s="1"/>
  <c r="G74" i="20"/>
  <c r="Q73" i="20" s="1"/>
  <c r="L73" i="20"/>
  <c r="E25" i="17"/>
  <c r="O19" i="17"/>
  <c r="G16" i="17"/>
  <c r="Q15" i="17" s="1"/>
  <c r="L15" i="17"/>
  <c r="G36" i="17"/>
  <c r="Q35" i="17" s="1"/>
  <c r="L35" i="17"/>
  <c r="G36" i="12"/>
  <c r="Q35" i="12" s="1"/>
  <c r="L35" i="12"/>
  <c r="E73" i="12"/>
  <c r="J73" i="12" s="1"/>
  <c r="J71" i="12"/>
  <c r="G68" i="13"/>
  <c r="Q67" i="13" s="1"/>
  <c r="L67" i="13"/>
  <c r="G13" i="18"/>
  <c r="Q12" i="18" s="1"/>
  <c r="L12" i="18"/>
  <c r="G29" i="18"/>
  <c r="Q28" i="18" s="1"/>
  <c r="L28" i="18"/>
  <c r="G56" i="18"/>
  <c r="Q55" i="18" s="1"/>
  <c r="L55" i="18"/>
  <c r="D24" i="14"/>
  <c r="I24" i="14" s="1"/>
  <c r="I19" i="14"/>
  <c r="S19" i="14" s="1"/>
  <c r="G29" i="14"/>
  <c r="Q28" i="14" s="1"/>
  <c r="L28" i="14"/>
  <c r="G66" i="14"/>
  <c r="Q65" i="14" s="1"/>
  <c r="L65" i="14"/>
  <c r="G18" i="19"/>
  <c r="Q17" i="19" s="1"/>
  <c r="L17" i="19"/>
  <c r="G29" i="19"/>
  <c r="Q28" i="19" s="1"/>
  <c r="L28" i="19"/>
  <c r="E73" i="19"/>
  <c r="J73" i="19" s="1"/>
  <c r="J71" i="19"/>
  <c r="G16" i="20"/>
  <c r="Q15" i="20" s="1"/>
  <c r="L15" i="20"/>
  <c r="G36" i="20"/>
  <c r="Q35" i="20" s="1"/>
  <c r="L35" i="20"/>
  <c r="G68" i="20"/>
  <c r="Q67" i="20" s="1"/>
  <c r="L67" i="20"/>
  <c r="G13" i="12"/>
  <c r="Q12" i="12" s="1"/>
  <c r="L12" i="12"/>
  <c r="G29" i="13"/>
  <c r="Q28" i="13" s="1"/>
  <c r="L28" i="13"/>
  <c r="G56" i="13"/>
  <c r="Q55" i="13" s="1"/>
  <c r="L55" i="13"/>
  <c r="E72" i="18"/>
  <c r="O71" i="18" s="1"/>
  <c r="O65" i="18"/>
  <c r="T65" i="18" s="1"/>
  <c r="D25" i="17"/>
  <c r="N24" i="17" s="1"/>
  <c r="N19" i="17"/>
  <c r="G38" i="17"/>
  <c r="Q37" i="17" s="1"/>
  <c r="L37" i="17"/>
  <c r="G58" i="17"/>
  <c r="Q57" i="17" s="1"/>
  <c r="V57" i="17" s="1"/>
  <c r="G16" i="12"/>
  <c r="Q15" i="12" s="1"/>
  <c r="L15" i="12"/>
  <c r="G23" i="12"/>
  <c r="Q22" i="12" s="1"/>
  <c r="L22" i="12"/>
  <c r="O42" i="12"/>
  <c r="T42" i="12" s="1"/>
  <c r="G72" i="12"/>
  <c r="Q71" i="12" s="1"/>
  <c r="L71" i="12"/>
  <c r="F20" i="13"/>
  <c r="P17" i="13"/>
  <c r="U17" i="13" s="1"/>
  <c r="G32" i="13"/>
  <c r="Q31" i="13" s="1"/>
  <c r="L31" i="13"/>
  <c r="G43" i="13"/>
  <c r="Q42" i="13" s="1"/>
  <c r="L42" i="13"/>
  <c r="G58" i="13"/>
  <c r="Q57" i="13" s="1"/>
  <c r="L57" i="13"/>
  <c r="G70" i="13"/>
  <c r="Q69" i="13" s="1"/>
  <c r="L69" i="13"/>
  <c r="G16" i="18"/>
  <c r="Q15" i="18" s="1"/>
  <c r="L15" i="18"/>
  <c r="G32" i="18"/>
  <c r="Q31" i="18" s="1"/>
  <c r="L31" i="18"/>
  <c r="L42" i="18"/>
  <c r="G58" i="18"/>
  <c r="Q57" i="18" s="1"/>
  <c r="L57" i="18"/>
  <c r="F72" i="18"/>
  <c r="P71" i="18" s="1"/>
  <c r="U71" i="18" s="1"/>
  <c r="P65" i="18"/>
  <c r="U65" i="18" s="1"/>
  <c r="G74" i="18"/>
  <c r="Q73" i="18" s="1"/>
  <c r="V73" i="18" s="1"/>
  <c r="F73" i="17"/>
  <c r="K73" i="17" s="1"/>
  <c r="K71" i="17"/>
  <c r="F73" i="18"/>
  <c r="K73" i="18" s="1"/>
  <c r="E24" i="14"/>
  <c r="J24" i="14" s="1"/>
  <c r="J19" i="14"/>
  <c r="G32" i="14"/>
  <c r="Q31" i="14" s="1"/>
  <c r="L31" i="14"/>
  <c r="G43" i="14"/>
  <c r="Q42" i="14" s="1"/>
  <c r="L42" i="14"/>
  <c r="E72" i="14"/>
  <c r="O71" i="14" s="1"/>
  <c r="O65" i="14"/>
  <c r="T65" i="14" s="1"/>
  <c r="D74" i="14"/>
  <c r="N73" i="14" s="1"/>
  <c r="N71" i="14"/>
  <c r="D24" i="19"/>
  <c r="I24" i="19" s="1"/>
  <c r="I19" i="19"/>
  <c r="G32" i="19"/>
  <c r="Q31" i="19" s="1"/>
  <c r="L31" i="19"/>
  <c r="G56" i="19"/>
  <c r="Q55" i="19" s="1"/>
  <c r="V55" i="19" s="1"/>
  <c r="G64" i="19"/>
  <c r="Q63" i="19" s="1"/>
  <c r="L63" i="19"/>
  <c r="F73" i="19"/>
  <c r="K73" i="19" s="1"/>
  <c r="K71" i="19"/>
  <c r="E20" i="20"/>
  <c r="O19" i="20" s="1"/>
  <c r="O15" i="20"/>
  <c r="T15" i="20" s="1"/>
  <c r="G38" i="20"/>
  <c r="Q37" i="20" s="1"/>
  <c r="L37" i="20"/>
  <c r="G60" i="20"/>
  <c r="Q59" i="20" s="1"/>
  <c r="L59" i="20"/>
  <c r="G70" i="20"/>
  <c r="Q69" i="20" s="1"/>
  <c r="L69" i="20"/>
  <c r="F20" i="20"/>
  <c r="P19" i="20" s="1"/>
  <c r="P17" i="20"/>
  <c r="U17" i="20" s="1"/>
  <c r="D74" i="17"/>
  <c r="N73" i="17" s="1"/>
  <c r="G18" i="12"/>
  <c r="Q17" i="12" s="1"/>
  <c r="L17" i="12"/>
  <c r="F24" i="12"/>
  <c r="K24" i="12" s="1"/>
  <c r="U42" i="12"/>
  <c r="F74" i="12"/>
  <c r="P73" i="12" s="1"/>
  <c r="D74" i="12"/>
  <c r="N73" i="12" s="1"/>
  <c r="N71" i="12"/>
  <c r="D24" i="13"/>
  <c r="I24" i="13" s="1"/>
  <c r="I19" i="13"/>
  <c r="G34" i="13"/>
  <c r="Q33" i="13" s="1"/>
  <c r="L33" i="13"/>
  <c r="D73" i="13"/>
  <c r="I73" i="13" s="1"/>
  <c r="I71" i="13"/>
  <c r="G19" i="18"/>
  <c r="L17" i="18"/>
  <c r="G34" i="18"/>
  <c r="Q33" i="18" s="1"/>
  <c r="L33" i="18"/>
  <c r="G60" i="18"/>
  <c r="Q59" i="18" s="1"/>
  <c r="L59" i="18"/>
  <c r="G68" i="18"/>
  <c r="Q67" i="18" s="1"/>
  <c r="L67" i="18"/>
  <c r="G18" i="17"/>
  <c r="Q17" i="17" s="1"/>
  <c r="F24" i="14"/>
  <c r="K24" i="14" s="1"/>
  <c r="K19" i="14"/>
  <c r="G34" i="14"/>
  <c r="Q33" i="14" s="1"/>
  <c r="L33" i="14"/>
  <c r="S42" i="14"/>
  <c r="F72" i="14"/>
  <c r="P71" i="14" s="1"/>
  <c r="P65" i="14"/>
  <c r="U65" i="14" s="1"/>
  <c r="G72" i="14"/>
  <c r="Q71" i="14" s="1"/>
  <c r="V71" i="14" s="1"/>
  <c r="E24" i="19"/>
  <c r="J24" i="19" s="1"/>
  <c r="J19" i="19"/>
  <c r="G43" i="19"/>
  <c r="Q42" i="19" s="1"/>
  <c r="L42" i="19"/>
  <c r="G58" i="19"/>
  <c r="Q57" i="19" s="1"/>
  <c r="L57" i="19"/>
  <c r="G66" i="19"/>
  <c r="Q65" i="19" s="1"/>
  <c r="L65" i="19"/>
  <c r="G72" i="19"/>
  <c r="Q71" i="19" s="1"/>
  <c r="L71" i="19"/>
  <c r="G40" i="20"/>
  <c r="Q39" i="20" s="1"/>
  <c r="L39" i="20"/>
  <c r="G52" i="20"/>
  <c r="Q51" i="20" s="1"/>
  <c r="L51" i="20"/>
  <c r="D73" i="20"/>
  <c r="I73" i="20" s="1"/>
  <c r="I71" i="20"/>
  <c r="E20" i="14"/>
  <c r="O17" i="14"/>
  <c r="T17" i="14" s="1"/>
  <c r="G75" i="12"/>
  <c r="L75" i="12" s="1"/>
  <c r="L45" i="12"/>
  <c r="G36" i="13"/>
  <c r="Q35" i="13" s="1"/>
  <c r="L35" i="13"/>
  <c r="G68" i="14"/>
  <c r="Q67" i="14" s="1"/>
  <c r="L67" i="14"/>
  <c r="F24" i="19"/>
  <c r="K24" i="19" s="1"/>
  <c r="K19" i="19"/>
  <c r="E72" i="19"/>
  <c r="O65" i="19"/>
  <c r="T65" i="19" s="1"/>
  <c r="D74" i="19"/>
  <c r="N73" i="19" s="1"/>
  <c r="N71" i="19"/>
  <c r="G18" i="20"/>
  <c r="Q17" i="20" s="1"/>
  <c r="L17" i="20"/>
  <c r="G54" i="20"/>
  <c r="Q53" i="20" s="1"/>
  <c r="L53" i="20"/>
  <c r="E73" i="20"/>
  <c r="J73" i="20" s="1"/>
  <c r="J71" i="20"/>
  <c r="G64" i="12"/>
  <c r="Q63" i="12" s="1"/>
  <c r="L63" i="12"/>
  <c r="G36" i="18"/>
  <c r="Q35" i="18" s="1"/>
  <c r="L35" i="18"/>
  <c r="N42" i="19"/>
  <c r="S42" i="19" s="1"/>
  <c r="F24" i="17"/>
  <c r="K24" i="17" s="1"/>
  <c r="G52" i="17"/>
  <c r="Q51" i="17" s="1"/>
  <c r="V51" i="17" s="1"/>
  <c r="E25" i="12"/>
  <c r="O24" i="12" s="1"/>
  <c r="G52" i="12"/>
  <c r="Q51" i="12" s="1"/>
  <c r="L51" i="12"/>
  <c r="F24" i="13"/>
  <c r="K24" i="13" s="1"/>
  <c r="K19" i="13"/>
  <c r="G38" i="13"/>
  <c r="Q37" i="13" s="1"/>
  <c r="L37" i="13"/>
  <c r="U42" i="13"/>
  <c r="F74" i="13"/>
  <c r="P73" i="13" s="1"/>
  <c r="P59" i="13"/>
  <c r="U59" i="13" s="1"/>
  <c r="E24" i="18"/>
  <c r="J24" i="18" s="1"/>
  <c r="J19" i="18"/>
  <c r="G38" i="18"/>
  <c r="Q37" i="18" s="1"/>
  <c r="L37" i="18"/>
  <c r="U42" i="18"/>
  <c r="D73" i="18"/>
  <c r="I73" i="18" s="1"/>
  <c r="I71" i="18"/>
  <c r="U71" i="12"/>
  <c r="G16" i="14"/>
  <c r="Q15" i="14" s="1"/>
  <c r="L15" i="14"/>
  <c r="G38" i="14"/>
  <c r="Q37" i="14" s="1"/>
  <c r="L37" i="14"/>
  <c r="U42" i="14"/>
  <c r="G60" i="14"/>
  <c r="Q59" i="14" s="1"/>
  <c r="L59" i="14"/>
  <c r="G70" i="14"/>
  <c r="Q69" i="14" s="1"/>
  <c r="L69" i="14"/>
  <c r="G13" i="19"/>
  <c r="Q12" i="19" s="1"/>
  <c r="L12" i="19"/>
  <c r="D25" i="19"/>
  <c r="N24" i="19" s="1"/>
  <c r="N19" i="19"/>
  <c r="G36" i="19"/>
  <c r="Q35" i="19" s="1"/>
  <c r="L35" i="19"/>
  <c r="T42" i="19"/>
  <c r="F72" i="19"/>
  <c r="P71" i="19" s="1"/>
  <c r="P65" i="19"/>
  <c r="U65" i="19" s="1"/>
  <c r="G74" i="19"/>
  <c r="Q73" i="19" s="1"/>
  <c r="L73" i="19"/>
  <c r="D24" i="20"/>
  <c r="I24" i="20" s="1"/>
  <c r="I19" i="20"/>
  <c r="S19" i="20" s="1"/>
  <c r="G29" i="20"/>
  <c r="Q28" i="20" s="1"/>
  <c r="L28" i="20"/>
  <c r="T42" i="20"/>
  <c r="G56" i="20"/>
  <c r="Q55" i="20" s="1"/>
  <c r="L55" i="20"/>
  <c r="G64" i="20"/>
  <c r="Q63" i="20" s="1"/>
  <c r="L63" i="20"/>
  <c r="F73" i="20"/>
  <c r="K73" i="20" s="1"/>
  <c r="K71" i="20"/>
  <c r="G23" i="11"/>
  <c r="Q22" i="11" s="1"/>
  <c r="L22" i="11"/>
  <c r="G68" i="11"/>
  <c r="Q67" i="11" s="1"/>
  <c r="V67" i="11" s="1"/>
  <c r="F20" i="11"/>
  <c r="P17" i="11"/>
  <c r="U17" i="11" s="1"/>
  <c r="G29" i="11"/>
  <c r="Q28" i="11" s="1"/>
  <c r="L28" i="11"/>
  <c r="U42" i="11"/>
  <c r="G56" i="11"/>
  <c r="Q55" i="11" s="1"/>
  <c r="L55" i="11"/>
  <c r="G70" i="11"/>
  <c r="Q69" i="11" s="1"/>
  <c r="L69" i="11"/>
  <c r="G16" i="11"/>
  <c r="Q15" i="11" s="1"/>
  <c r="L15" i="11"/>
  <c r="G52" i="11"/>
  <c r="Q51" i="11" s="1"/>
  <c r="L51" i="11"/>
  <c r="G54" i="11"/>
  <c r="Q53" i="11" s="1"/>
  <c r="L53" i="11"/>
  <c r="G74" i="11"/>
  <c r="Q73" i="11" s="1"/>
  <c r="L73" i="11"/>
  <c r="G32" i="11"/>
  <c r="Q31" i="11" s="1"/>
  <c r="L31" i="11"/>
  <c r="G43" i="11"/>
  <c r="Q42" i="11" s="1"/>
  <c r="L42" i="11"/>
  <c r="G58" i="11"/>
  <c r="Q57" i="11" s="1"/>
  <c r="L57" i="11"/>
  <c r="D73" i="11"/>
  <c r="I73" i="11" s="1"/>
  <c r="I71" i="11"/>
  <c r="E24" i="11"/>
  <c r="J24" i="11" s="1"/>
  <c r="J19" i="11"/>
  <c r="G34" i="11"/>
  <c r="Q33" i="11" s="1"/>
  <c r="L33" i="11"/>
  <c r="G60" i="11"/>
  <c r="Q59" i="11" s="1"/>
  <c r="L59" i="11"/>
  <c r="E73" i="11"/>
  <c r="J73" i="11" s="1"/>
  <c r="J71" i="11"/>
  <c r="T71" i="11" s="1"/>
  <c r="F24" i="11"/>
  <c r="K24" i="11" s="1"/>
  <c r="K19" i="11"/>
  <c r="G36" i="11"/>
  <c r="Q35" i="11" s="1"/>
  <c r="L35" i="11"/>
  <c r="G72" i="11"/>
  <c r="Q71" i="11" s="1"/>
  <c r="L71" i="11"/>
  <c r="F73" i="11"/>
  <c r="K73" i="11" s="1"/>
  <c r="K71" i="11"/>
  <c r="U71" i="11" s="1"/>
  <c r="G13" i="11"/>
  <c r="Q12" i="11" s="1"/>
  <c r="L12" i="11"/>
  <c r="D25" i="11"/>
  <c r="N24" i="11" s="1"/>
  <c r="N19" i="11"/>
  <c r="S19" i="11" s="1"/>
  <c r="G38" i="11"/>
  <c r="Q37" i="11" s="1"/>
  <c r="L37" i="11"/>
  <c r="D74" i="11"/>
  <c r="N73" i="11" s="1"/>
  <c r="N71" i="11"/>
  <c r="E25" i="11"/>
  <c r="O24" i="11" s="1"/>
  <c r="O19" i="11"/>
  <c r="G40" i="11"/>
  <c r="Q39" i="11" s="1"/>
  <c r="L39" i="11"/>
  <c r="G75" i="11"/>
  <c r="L75" i="11" s="1"/>
  <c r="L45" i="11"/>
  <c r="G66" i="11"/>
  <c r="Q65" i="11" s="1"/>
  <c r="L65" i="11"/>
  <c r="E74" i="11"/>
  <c r="O73" i="11" s="1"/>
  <c r="G19" i="11"/>
  <c r="H73" i="13"/>
  <c r="G18" i="18"/>
  <c r="Q17" i="18" s="1"/>
  <c r="F20" i="19"/>
  <c r="P19" i="19" s="1"/>
  <c r="G18" i="14"/>
  <c r="Q17" i="14" s="1"/>
  <c r="G19" i="13"/>
  <c r="G43" i="18"/>
  <c r="Q42" i="18" s="1"/>
  <c r="E20" i="19"/>
  <c r="O19" i="19" s="1"/>
  <c r="E74" i="13"/>
  <c r="O73" i="13" s="1"/>
  <c r="G72" i="13"/>
  <c r="Q71" i="13" s="1"/>
  <c r="V71" i="13" s="1"/>
  <c r="H73" i="18"/>
  <c r="G18" i="13"/>
  <c r="G34" i="5"/>
  <c r="Q33" i="5" s="1"/>
  <c r="V33" i="5" s="1"/>
  <c r="F73" i="5"/>
  <c r="K73" i="5" s="1"/>
  <c r="G64" i="5"/>
  <c r="Q63" i="5" s="1"/>
  <c r="V63" i="5" s="1"/>
  <c r="F74" i="5"/>
  <c r="P73" i="5" s="1"/>
  <c r="G70" i="5"/>
  <c r="Q69" i="5" s="1"/>
  <c r="V69" i="5" s="1"/>
  <c r="D73" i="5"/>
  <c r="I73" i="5" s="1"/>
  <c r="G19" i="12"/>
  <c r="F20" i="12"/>
  <c r="F20" i="14"/>
  <c r="P19" i="14" s="1"/>
  <c r="G19" i="20"/>
  <c r="G23" i="20"/>
  <c r="G19" i="19"/>
  <c r="G23" i="14"/>
  <c r="Q22" i="14" s="1"/>
  <c r="V22" i="14" s="1"/>
  <c r="E20" i="18"/>
  <c r="F20" i="18"/>
  <c r="G23" i="17"/>
  <c r="Q22" i="17" s="1"/>
  <c r="V22" i="17" s="1"/>
  <c r="F74" i="11"/>
  <c r="P73" i="11" s="1"/>
  <c r="H73" i="11"/>
  <c r="G60" i="5"/>
  <c r="Q59" i="5" s="1"/>
  <c r="V59" i="5" s="1"/>
  <c r="O125" i="10"/>
  <c r="M125" i="10"/>
  <c r="K125" i="10"/>
  <c r="O107" i="10"/>
  <c r="O100" i="10"/>
  <c r="O84" i="10"/>
  <c r="G39" i="5" s="1"/>
  <c r="L39" i="5" s="1"/>
  <c r="O78" i="10"/>
  <c r="O64" i="10"/>
  <c r="G31" i="5" s="1"/>
  <c r="L31" i="5" s="1"/>
  <c r="O55" i="10"/>
  <c r="O58" i="10" s="1"/>
  <c r="G28" i="5" s="1"/>
  <c r="L28" i="5" s="1"/>
  <c r="O19" i="10"/>
  <c r="G12" i="5" s="1"/>
  <c r="L12" i="5" s="1"/>
  <c r="K17" i="10"/>
  <c r="K19" i="10" s="1"/>
  <c r="M17" i="10"/>
  <c r="M19" i="10" s="1"/>
  <c r="E179" i="10"/>
  <c r="D179" i="10"/>
  <c r="C179" i="10"/>
  <c r="E169" i="10"/>
  <c r="D169" i="10"/>
  <c r="C169" i="10"/>
  <c r="I165" i="10"/>
  <c r="G165" i="10"/>
  <c r="AF165" i="10" s="1"/>
  <c r="E165" i="10"/>
  <c r="D165" i="10"/>
  <c r="C165" i="10"/>
  <c r="M164" i="10"/>
  <c r="M165" i="10" s="1"/>
  <c r="K164" i="10"/>
  <c r="I161" i="10"/>
  <c r="E161" i="10"/>
  <c r="D161" i="10"/>
  <c r="C161" i="10"/>
  <c r="M160" i="10"/>
  <c r="K160" i="10"/>
  <c r="M159" i="10"/>
  <c r="G159" i="10"/>
  <c r="G161" i="10" s="1"/>
  <c r="M158" i="10"/>
  <c r="K158" i="10"/>
  <c r="K155" i="10"/>
  <c r="I155" i="10"/>
  <c r="G155" i="10"/>
  <c r="AF155" i="10" s="1"/>
  <c r="E155" i="10"/>
  <c r="D155" i="10"/>
  <c r="D171" i="10" s="1"/>
  <c r="C155" i="10"/>
  <c r="M154" i="10"/>
  <c r="M155" i="10" s="1"/>
  <c r="I148" i="10"/>
  <c r="G145" i="10"/>
  <c r="AF145" i="10" s="1"/>
  <c r="E145" i="10"/>
  <c r="F145" i="10" s="1"/>
  <c r="C145" i="10"/>
  <c r="M144" i="10"/>
  <c r="K144" i="10"/>
  <c r="I144" i="10"/>
  <c r="D144" i="10"/>
  <c r="I142" i="10"/>
  <c r="K142" i="10" s="1"/>
  <c r="D141" i="10"/>
  <c r="H139" i="10"/>
  <c r="E136" i="10"/>
  <c r="D136" i="10"/>
  <c r="C136" i="10"/>
  <c r="E129" i="10"/>
  <c r="F129" i="10" s="1"/>
  <c r="D129" i="10"/>
  <c r="C129" i="10"/>
  <c r="K128" i="10"/>
  <c r="M128" i="10" s="1"/>
  <c r="O128" i="10" s="1"/>
  <c r="I127" i="10"/>
  <c r="K127" i="10" s="1"/>
  <c r="M127" i="10" s="1"/>
  <c r="O127" i="10" s="1"/>
  <c r="AI126" i="10"/>
  <c r="I126" i="10"/>
  <c r="K126" i="10" s="1"/>
  <c r="M126" i="10" s="1"/>
  <c r="O126" i="10" s="1"/>
  <c r="I124" i="10"/>
  <c r="K124" i="10" s="1"/>
  <c r="M124" i="10" s="1"/>
  <c r="O124" i="10" s="1"/>
  <c r="I123" i="10"/>
  <c r="K123" i="10" s="1"/>
  <c r="M123" i="10" s="1"/>
  <c r="O123" i="10" s="1"/>
  <c r="G122" i="10"/>
  <c r="I122" i="10" s="1"/>
  <c r="AI121" i="10"/>
  <c r="K121" i="10"/>
  <c r="M121" i="10" s="1"/>
  <c r="O121" i="10" s="1"/>
  <c r="G121" i="10"/>
  <c r="AJ120" i="10"/>
  <c r="K119" i="10"/>
  <c r="M119" i="10" s="1"/>
  <c r="O119" i="10" s="1"/>
  <c r="K118" i="10"/>
  <c r="M118" i="10" s="1"/>
  <c r="W116" i="10"/>
  <c r="G115" i="10"/>
  <c r="E115" i="10"/>
  <c r="D115" i="10"/>
  <c r="C115" i="10"/>
  <c r="K113" i="10"/>
  <c r="M113" i="10" s="1"/>
  <c r="I111" i="10"/>
  <c r="I115" i="10" s="1"/>
  <c r="K109" i="10"/>
  <c r="M109" i="10" s="1"/>
  <c r="O109" i="10" s="1"/>
  <c r="K107" i="10"/>
  <c r="M107" i="10" s="1"/>
  <c r="K106" i="10"/>
  <c r="K105" i="10"/>
  <c r="M105" i="10" s="1"/>
  <c r="O105" i="10" s="1"/>
  <c r="M100" i="10"/>
  <c r="K100" i="10"/>
  <c r="I100" i="10"/>
  <c r="G100" i="10"/>
  <c r="G102" i="10" s="1"/>
  <c r="E100" i="10"/>
  <c r="E102" i="10" s="1"/>
  <c r="F102" i="10" s="1"/>
  <c r="D100" i="10"/>
  <c r="D102" i="10" s="1"/>
  <c r="C100" i="10"/>
  <c r="C102" i="10" s="1"/>
  <c r="I96" i="10"/>
  <c r="K96" i="10" s="1"/>
  <c r="M96" i="10" s="1"/>
  <c r="O96" i="10" s="1"/>
  <c r="K95" i="10"/>
  <c r="M84" i="10"/>
  <c r="K84" i="10"/>
  <c r="G84" i="10"/>
  <c r="E84" i="10"/>
  <c r="D84" i="10"/>
  <c r="C84" i="10"/>
  <c r="I82" i="10"/>
  <c r="I84" i="10" s="1"/>
  <c r="I79" i="10"/>
  <c r="G79" i="10"/>
  <c r="E79" i="10"/>
  <c r="D79" i="10"/>
  <c r="C79" i="10"/>
  <c r="M78" i="10"/>
  <c r="K78" i="10"/>
  <c r="M77" i="10"/>
  <c r="M79" i="10" s="1"/>
  <c r="K77" i="10"/>
  <c r="O77" i="10" s="1"/>
  <c r="O79" i="10" s="1"/>
  <c r="G37" i="5" s="1"/>
  <c r="L37" i="5" s="1"/>
  <c r="I74" i="10"/>
  <c r="G74" i="10"/>
  <c r="E74" i="10"/>
  <c r="D74" i="10"/>
  <c r="C74" i="10"/>
  <c r="K73" i="10"/>
  <c r="M69" i="10"/>
  <c r="G69" i="10"/>
  <c r="E69" i="10"/>
  <c r="D69" i="10"/>
  <c r="C69" i="10"/>
  <c r="I67" i="10"/>
  <c r="I69" i="10" s="1"/>
  <c r="M64" i="10"/>
  <c r="K64" i="10"/>
  <c r="I64" i="10"/>
  <c r="G64" i="10"/>
  <c r="E64" i="10"/>
  <c r="D64" i="10"/>
  <c r="C64" i="10"/>
  <c r="M58" i="10"/>
  <c r="K58" i="10"/>
  <c r="I58" i="10"/>
  <c r="G58" i="10"/>
  <c r="E58" i="10"/>
  <c r="D58" i="10"/>
  <c r="C58" i="10"/>
  <c r="E50" i="10"/>
  <c r="F31" i="10" s="1"/>
  <c r="D50" i="10"/>
  <c r="D45" i="10"/>
  <c r="C44" i="10"/>
  <c r="C50" i="10" s="1"/>
  <c r="E39" i="10"/>
  <c r="E41" i="10" s="1"/>
  <c r="D39" i="10"/>
  <c r="D41" i="10" s="1"/>
  <c r="C39" i="10"/>
  <c r="C41" i="10" s="1"/>
  <c r="I37" i="10"/>
  <c r="K37" i="10" s="1"/>
  <c r="M37" i="10" s="1"/>
  <c r="O37" i="10" s="1"/>
  <c r="I36" i="10"/>
  <c r="K36" i="10" s="1"/>
  <c r="M36" i="10" s="1"/>
  <c r="O36" i="10" s="1"/>
  <c r="K35" i="10"/>
  <c r="M35" i="10" s="1"/>
  <c r="O35" i="10" s="1"/>
  <c r="K34" i="10"/>
  <c r="M34" i="10" s="1"/>
  <c r="O34" i="10" s="1"/>
  <c r="I33" i="10"/>
  <c r="K33" i="10" s="1"/>
  <c r="M33" i="10" s="1"/>
  <c r="O33" i="10" s="1"/>
  <c r="E31" i="10"/>
  <c r="I30" i="10"/>
  <c r="K30" i="10" s="1"/>
  <c r="M30" i="10" s="1"/>
  <c r="O30" i="10" s="1"/>
  <c r="G30" i="10"/>
  <c r="AV29" i="10"/>
  <c r="AQ29" i="10"/>
  <c r="AR29" i="10" s="1"/>
  <c r="AT29" i="10" s="1"/>
  <c r="AX29" i="10" s="1"/>
  <c r="AL29" i="10"/>
  <c r="AM29" i="10" s="1"/>
  <c r="AN29" i="10" s="1"/>
  <c r="I29" i="10"/>
  <c r="K29" i="10" s="1"/>
  <c r="M29" i="10" s="1"/>
  <c r="O29" i="10" s="1"/>
  <c r="AW28" i="10"/>
  <c r="AQ28" i="10"/>
  <c r="AR28" i="10" s="1"/>
  <c r="AL28" i="10"/>
  <c r="AM28" i="10" s="1"/>
  <c r="AN28" i="10" s="1"/>
  <c r="AI28" i="10"/>
  <c r="AV28" i="10" s="1"/>
  <c r="G48" i="10" s="1"/>
  <c r="I28" i="10"/>
  <c r="K28" i="10" s="1"/>
  <c r="M28" i="10" s="1"/>
  <c r="O28" i="10" s="1"/>
  <c r="AW27" i="10"/>
  <c r="AV27" i="10"/>
  <c r="G47" i="10" s="1"/>
  <c r="AQ27" i="10"/>
  <c r="AR27" i="10" s="1"/>
  <c r="AT27" i="10" s="1"/>
  <c r="AX27" i="10" s="1"/>
  <c r="AM27" i="10"/>
  <c r="AN27" i="10" s="1"/>
  <c r="AL27" i="10"/>
  <c r="I27" i="10"/>
  <c r="K27" i="10" s="1"/>
  <c r="M27" i="10" s="1"/>
  <c r="O27" i="10" s="1"/>
  <c r="G27" i="10"/>
  <c r="AW26" i="10"/>
  <c r="AV26" i="10"/>
  <c r="G46" i="10" s="1"/>
  <c r="AQ26" i="10"/>
  <c r="AR26" i="10" s="1"/>
  <c r="AT26" i="10" s="1"/>
  <c r="AX26" i="10" s="1"/>
  <c r="AL26" i="10"/>
  <c r="AM26" i="10" s="1"/>
  <c r="AN26" i="10" s="1"/>
  <c r="I26" i="10"/>
  <c r="K26" i="10" s="1"/>
  <c r="M26" i="10" s="1"/>
  <c r="O26" i="10" s="1"/>
  <c r="AV25" i="10"/>
  <c r="AQ25" i="10"/>
  <c r="AR25" i="10" s="1"/>
  <c r="AT25" i="10" s="1"/>
  <c r="AX25" i="10" s="1"/>
  <c r="AY25" i="10" s="1"/>
  <c r="AL25" i="10"/>
  <c r="AM25" i="10" s="1"/>
  <c r="AN25" i="10" s="1"/>
  <c r="I25" i="10"/>
  <c r="K25" i="10" s="1"/>
  <c r="M25" i="10" s="1"/>
  <c r="O25" i="10" s="1"/>
  <c r="G25" i="10"/>
  <c r="AW24" i="10"/>
  <c r="AV24" i="10"/>
  <c r="G45" i="10" s="1"/>
  <c r="AQ24" i="10"/>
  <c r="AR24" i="10" s="1"/>
  <c r="AT24" i="10" s="1"/>
  <c r="AL24" i="10"/>
  <c r="AM24" i="10" s="1"/>
  <c r="AN24" i="10" s="1"/>
  <c r="I24" i="10"/>
  <c r="E19" i="10"/>
  <c r="D19" i="10"/>
  <c r="I17" i="10"/>
  <c r="I19" i="10" s="1"/>
  <c r="G17" i="10"/>
  <c r="G19" i="10" s="1"/>
  <c r="C17" i="10"/>
  <c r="C19" i="10" s="1"/>
  <c r="AL16" i="10"/>
  <c r="AJ16" i="10"/>
  <c r="AI16" i="10"/>
  <c r="AL15" i="10"/>
  <c r="AJ15" i="10"/>
  <c r="AI15" i="10"/>
  <c r="AL14" i="10"/>
  <c r="AJ14" i="10"/>
  <c r="AK14" i="10" s="1"/>
  <c r="AI14" i="10"/>
  <c r="AL13" i="10"/>
  <c r="AJ13" i="10"/>
  <c r="AI13" i="10"/>
  <c r="AL12" i="10"/>
  <c r="AJ12" i="10"/>
  <c r="AI12" i="10"/>
  <c r="AK12" i="10" s="1"/>
  <c r="E45" i="14" l="1"/>
  <c r="D45" i="12"/>
  <c r="D75" i="12" s="1"/>
  <c r="I75" i="12" s="1"/>
  <c r="D45" i="18"/>
  <c r="I45" i="18" s="1"/>
  <c r="S73" i="18"/>
  <c r="T71" i="14"/>
  <c r="D46" i="18"/>
  <c r="N45" i="18" s="1"/>
  <c r="F45" i="12"/>
  <c r="F75" i="12" s="1"/>
  <c r="K75" i="12" s="1"/>
  <c r="D46" i="13"/>
  <c r="N45" i="13" s="1"/>
  <c r="T19" i="13"/>
  <c r="T24" i="13"/>
  <c r="V42" i="18"/>
  <c r="V73" i="14"/>
  <c r="D45" i="14"/>
  <c r="I45" i="14" s="1"/>
  <c r="S73" i="17"/>
  <c r="D45" i="17"/>
  <c r="D75" i="17" s="1"/>
  <c r="I75" i="17" s="1"/>
  <c r="G24" i="17"/>
  <c r="L24" i="17" s="1"/>
  <c r="E46" i="11"/>
  <c r="E76" i="11" s="1"/>
  <c r="V17" i="14"/>
  <c r="V65" i="18"/>
  <c r="D45" i="11"/>
  <c r="D75" i="11" s="1"/>
  <c r="I75" i="11" s="1"/>
  <c r="V65" i="13"/>
  <c r="U19" i="20"/>
  <c r="G24" i="14"/>
  <c r="H45" i="14" s="1"/>
  <c r="V69" i="12"/>
  <c r="V42" i="20"/>
  <c r="V39" i="19"/>
  <c r="V71" i="18"/>
  <c r="S24" i="11"/>
  <c r="F45" i="20"/>
  <c r="F75" i="20" s="1"/>
  <c r="K75" i="20" s="1"/>
  <c r="E74" i="18"/>
  <c r="O73" i="18" s="1"/>
  <c r="T73" i="18" s="1"/>
  <c r="V55" i="13"/>
  <c r="F74" i="20"/>
  <c r="P73" i="20" s="1"/>
  <c r="U73" i="20" s="1"/>
  <c r="V39" i="20"/>
  <c r="V42" i="19"/>
  <c r="E45" i="12"/>
  <c r="J45" i="12" s="1"/>
  <c r="V67" i="20"/>
  <c r="G20" i="19"/>
  <c r="G25" i="19" s="1"/>
  <c r="V31" i="20"/>
  <c r="E45" i="19"/>
  <c r="E75" i="19" s="1"/>
  <c r="J75" i="19" s="1"/>
  <c r="S73" i="20"/>
  <c r="U73" i="12"/>
  <c r="V69" i="20"/>
  <c r="D46" i="20"/>
  <c r="N45" i="20" s="1"/>
  <c r="E46" i="13"/>
  <c r="O45" i="13" s="1"/>
  <c r="V57" i="11"/>
  <c r="V53" i="11"/>
  <c r="S73" i="14"/>
  <c r="E45" i="20"/>
  <c r="E75" i="20" s="1"/>
  <c r="J75" i="20" s="1"/>
  <c r="T19" i="20"/>
  <c r="D46" i="17"/>
  <c r="D76" i="17" s="1"/>
  <c r="T24" i="12"/>
  <c r="V33" i="14"/>
  <c r="V17" i="12"/>
  <c r="V37" i="20"/>
  <c r="F45" i="14"/>
  <c r="F75" i="14" s="1"/>
  <c r="K75" i="14" s="1"/>
  <c r="E45" i="13"/>
  <c r="E75" i="13" s="1"/>
  <c r="J75" i="13" s="1"/>
  <c r="V31" i="11"/>
  <c r="V15" i="11"/>
  <c r="S24" i="20"/>
  <c r="D45" i="20"/>
  <c r="D75" i="20" s="1"/>
  <c r="I75" i="20" s="1"/>
  <c r="V37" i="11"/>
  <c r="S73" i="13"/>
  <c r="G20" i="11"/>
  <c r="Q19" i="11" s="1"/>
  <c r="V35" i="13"/>
  <c r="V59" i="14"/>
  <c r="V31" i="17"/>
  <c r="V51" i="19"/>
  <c r="V51" i="13"/>
  <c r="V31" i="18"/>
  <c r="V65" i="14"/>
  <c r="N24" i="12"/>
  <c r="S24" i="12" s="1"/>
  <c r="S19" i="18"/>
  <c r="G20" i="12"/>
  <c r="G25" i="12" s="1"/>
  <c r="V12" i="19"/>
  <c r="V17" i="20"/>
  <c r="V67" i="14"/>
  <c r="V17" i="17"/>
  <c r="V31" i="13"/>
  <c r="S24" i="17"/>
  <c r="V28" i="18"/>
  <c r="V71" i="20"/>
  <c r="V35" i="11"/>
  <c r="U73" i="13"/>
  <c r="S71" i="19"/>
  <c r="V51" i="20"/>
  <c r="V57" i="19"/>
  <c r="S71" i="14"/>
  <c r="V15" i="12"/>
  <c r="T71" i="18"/>
  <c r="V28" i="14"/>
  <c r="V73" i="20"/>
  <c r="V53" i="19"/>
  <c r="V65" i="20"/>
  <c r="V53" i="12"/>
  <c r="V53" i="17"/>
  <c r="V55" i="14"/>
  <c r="F74" i="17"/>
  <c r="P73" i="17" s="1"/>
  <c r="U73" i="17" s="1"/>
  <c r="F74" i="18"/>
  <c r="P73" i="18" s="1"/>
  <c r="U73" i="18" s="1"/>
  <c r="E25" i="20"/>
  <c r="E46" i="20" s="1"/>
  <c r="E74" i="20"/>
  <c r="O73" i="20" s="1"/>
  <c r="T73" i="20" s="1"/>
  <c r="F45" i="18"/>
  <c r="F25" i="20"/>
  <c r="F46" i="20" s="1"/>
  <c r="V31" i="14"/>
  <c r="S19" i="19"/>
  <c r="V57" i="13"/>
  <c r="S24" i="18"/>
  <c r="V51" i="18"/>
  <c r="V39" i="13"/>
  <c r="G20" i="17"/>
  <c r="Q19" i="17" s="1"/>
  <c r="V19" i="17" s="1"/>
  <c r="G20" i="18"/>
  <c r="G25" i="18" s="1"/>
  <c r="E25" i="19"/>
  <c r="E46" i="19" s="1"/>
  <c r="G20" i="20"/>
  <c r="Q19" i="20" s="1"/>
  <c r="F74" i="19"/>
  <c r="P73" i="19" s="1"/>
  <c r="U73" i="19" s="1"/>
  <c r="U71" i="17"/>
  <c r="V35" i="20"/>
  <c r="V17" i="19"/>
  <c r="V67" i="13"/>
  <c r="V22" i="13"/>
  <c r="S71" i="20"/>
  <c r="V22" i="19"/>
  <c r="V39" i="14"/>
  <c r="V39" i="18"/>
  <c r="V69" i="18"/>
  <c r="D45" i="19"/>
  <c r="V73" i="19"/>
  <c r="V37" i="14"/>
  <c r="V37" i="18"/>
  <c r="D46" i="19"/>
  <c r="D76" i="19" s="1"/>
  <c r="V53" i="20"/>
  <c r="V71" i="19"/>
  <c r="V33" i="18"/>
  <c r="V31" i="19"/>
  <c r="V37" i="17"/>
  <c r="V28" i="13"/>
  <c r="V73" i="13"/>
  <c r="V33" i="12"/>
  <c r="V69" i="19"/>
  <c r="V53" i="14"/>
  <c r="V15" i="19"/>
  <c r="V65" i="19"/>
  <c r="V35" i="18"/>
  <c r="S71" i="12"/>
  <c r="S19" i="17"/>
  <c r="V63" i="17"/>
  <c r="G20" i="13"/>
  <c r="Q17" i="13"/>
  <c r="V17" i="13" s="1"/>
  <c r="F45" i="19"/>
  <c r="U73" i="5"/>
  <c r="E45" i="18"/>
  <c r="G24" i="13"/>
  <c r="L19" i="13"/>
  <c r="T19" i="11"/>
  <c r="V28" i="20"/>
  <c r="V69" i="14"/>
  <c r="V51" i="12"/>
  <c r="V63" i="12"/>
  <c r="G24" i="18"/>
  <c r="L19" i="18"/>
  <c r="S73" i="12"/>
  <c r="V42" i="14"/>
  <c r="V42" i="13"/>
  <c r="E46" i="12"/>
  <c r="V28" i="19"/>
  <c r="V12" i="18"/>
  <c r="V63" i="14"/>
  <c r="V15" i="13"/>
  <c r="V33" i="17"/>
  <c r="V31" i="12"/>
  <c r="V37" i="19"/>
  <c r="V51" i="14"/>
  <c r="G24" i="19"/>
  <c r="L19" i="19"/>
  <c r="F25" i="12"/>
  <c r="P19" i="12"/>
  <c r="U19" i="12" s="1"/>
  <c r="T24" i="11"/>
  <c r="V35" i="19"/>
  <c r="V67" i="18"/>
  <c r="V15" i="18"/>
  <c r="V35" i="17"/>
  <c r="S73" i="19"/>
  <c r="T19" i="17"/>
  <c r="V28" i="12"/>
  <c r="V65" i="12"/>
  <c r="G24" i="20"/>
  <c r="L24" i="20" s="1"/>
  <c r="L19" i="20"/>
  <c r="U71" i="19"/>
  <c r="E74" i="17"/>
  <c r="O73" i="17" s="1"/>
  <c r="T73" i="17" s="1"/>
  <c r="O71" i="17"/>
  <c r="T71" i="17" s="1"/>
  <c r="T71" i="20"/>
  <c r="T73" i="13"/>
  <c r="S19" i="13"/>
  <c r="F45" i="17"/>
  <c r="E45" i="17"/>
  <c r="V39" i="12"/>
  <c r="F25" i="18"/>
  <c r="P19" i="18"/>
  <c r="U19" i="18" s="1"/>
  <c r="V65" i="11"/>
  <c r="U73" i="11"/>
  <c r="V22" i="12"/>
  <c r="U71" i="20"/>
  <c r="D46" i="14"/>
  <c r="N24" i="14"/>
  <c r="S24" i="14" s="1"/>
  <c r="V53" i="13"/>
  <c r="V63" i="13"/>
  <c r="V35" i="14"/>
  <c r="T71" i="12"/>
  <c r="S24" i="13"/>
  <c r="E75" i="14"/>
  <c r="J75" i="14" s="1"/>
  <c r="J45" i="14"/>
  <c r="V28" i="11"/>
  <c r="E45" i="11"/>
  <c r="J45" i="11" s="1"/>
  <c r="F45" i="13"/>
  <c r="F25" i="14"/>
  <c r="F25" i="19"/>
  <c r="G20" i="14"/>
  <c r="Q19" i="14" s="1"/>
  <c r="V19" i="14" s="1"/>
  <c r="T19" i="19"/>
  <c r="E74" i="14"/>
  <c r="O73" i="14" s="1"/>
  <c r="T73" i="14" s="1"/>
  <c r="V63" i="20"/>
  <c r="S24" i="19"/>
  <c r="V37" i="13"/>
  <c r="E74" i="19"/>
  <c r="O73" i="19" s="1"/>
  <c r="T73" i="19" s="1"/>
  <c r="O71" i="19"/>
  <c r="T71" i="19" s="1"/>
  <c r="V59" i="18"/>
  <c r="V33" i="13"/>
  <c r="V59" i="20"/>
  <c r="V63" i="19"/>
  <c r="V57" i="18"/>
  <c r="V69" i="13"/>
  <c r="F25" i="13"/>
  <c r="P19" i="13"/>
  <c r="U19" i="13" s="1"/>
  <c r="V12" i="12"/>
  <c r="V15" i="20"/>
  <c r="V55" i="18"/>
  <c r="V15" i="17"/>
  <c r="V42" i="17"/>
  <c r="T73" i="12"/>
  <c r="V28" i="17"/>
  <c r="D45" i="13"/>
  <c r="E25" i="18"/>
  <c r="O19" i="18"/>
  <c r="T19" i="18" s="1"/>
  <c r="G24" i="12"/>
  <c r="L24" i="12" s="1"/>
  <c r="L19" i="12"/>
  <c r="F45" i="11"/>
  <c r="F75" i="11" s="1"/>
  <c r="K75" i="11" s="1"/>
  <c r="Q22" i="20"/>
  <c r="V22" i="20" s="1"/>
  <c r="U19" i="14"/>
  <c r="F74" i="14"/>
  <c r="P73" i="14" s="1"/>
  <c r="U73" i="14" s="1"/>
  <c r="V17" i="18"/>
  <c r="V55" i="20"/>
  <c r="U19" i="19"/>
  <c r="V71" i="12"/>
  <c r="V35" i="12"/>
  <c r="U71" i="14"/>
  <c r="V22" i="18"/>
  <c r="V42" i="12"/>
  <c r="V67" i="19"/>
  <c r="V67" i="12"/>
  <c r="V12" i="20"/>
  <c r="S71" i="18"/>
  <c r="D76" i="12"/>
  <c r="N45" i="12"/>
  <c r="S71" i="13"/>
  <c r="F25" i="17"/>
  <c r="P19" i="17"/>
  <c r="U19" i="17" s="1"/>
  <c r="V39" i="17"/>
  <c r="V15" i="14"/>
  <c r="E25" i="14"/>
  <c r="O19" i="14"/>
  <c r="T19" i="14" s="1"/>
  <c r="E46" i="17"/>
  <c r="O24" i="17"/>
  <c r="T24" i="17" s="1"/>
  <c r="V55" i="12"/>
  <c r="V12" i="13"/>
  <c r="V55" i="11"/>
  <c r="V22" i="11"/>
  <c r="V12" i="11"/>
  <c r="D46" i="11"/>
  <c r="S71" i="11"/>
  <c r="V42" i="11"/>
  <c r="V51" i="11"/>
  <c r="V71" i="11"/>
  <c r="T73" i="11"/>
  <c r="V33" i="11"/>
  <c r="F25" i="11"/>
  <c r="P19" i="11"/>
  <c r="U19" i="11" s="1"/>
  <c r="G24" i="11"/>
  <c r="L19" i="11"/>
  <c r="V39" i="11"/>
  <c r="V59" i="11"/>
  <c r="S73" i="11"/>
  <c r="V73" i="11"/>
  <c r="V69" i="11"/>
  <c r="G40" i="5"/>
  <c r="Q39" i="5" s="1"/>
  <c r="V39" i="5" s="1"/>
  <c r="G38" i="5"/>
  <c r="Q37" i="5" s="1"/>
  <c r="V37" i="5" s="1"/>
  <c r="G13" i="5"/>
  <c r="Q12" i="5" s="1"/>
  <c r="V12" i="5" s="1"/>
  <c r="G29" i="5"/>
  <c r="Q28" i="5" s="1"/>
  <c r="V28" i="5" s="1"/>
  <c r="G32" i="5"/>
  <c r="Q31" i="5" s="1"/>
  <c r="V31" i="5" s="1"/>
  <c r="G51" i="5"/>
  <c r="L51" i="5" s="1"/>
  <c r="O102" i="10"/>
  <c r="AM12" i="10"/>
  <c r="AK13" i="10"/>
  <c r="E86" i="10"/>
  <c r="E88" i="10" s="1"/>
  <c r="E90" i="10" s="1"/>
  <c r="M171" i="10"/>
  <c r="K161" i="10"/>
  <c r="K171" i="10" s="1"/>
  <c r="L171" i="10" s="1"/>
  <c r="O158" i="10"/>
  <c r="O161" i="10" s="1"/>
  <c r="M161" i="10"/>
  <c r="E52" i="10"/>
  <c r="E53" i="10" s="1"/>
  <c r="K165" i="10"/>
  <c r="O165" i="10"/>
  <c r="G67" i="5" s="1"/>
  <c r="L67" i="5" s="1"/>
  <c r="K74" i="10"/>
  <c r="K86" i="10" s="1"/>
  <c r="O73" i="10"/>
  <c r="O74" i="10" s="1"/>
  <c r="G35" i="5" s="1"/>
  <c r="L35" i="5" s="1"/>
  <c r="E171" i="10"/>
  <c r="F171" i="10" s="1"/>
  <c r="M86" i="10"/>
  <c r="AY29" i="10"/>
  <c r="G39" i="10" s="1"/>
  <c r="I39" i="10" s="1"/>
  <c r="I41" i="10" s="1"/>
  <c r="AY27" i="10"/>
  <c r="G28" i="10" s="1"/>
  <c r="C86" i="10"/>
  <c r="AK15" i="10"/>
  <c r="AY26" i="10"/>
  <c r="G26" i="10" s="1"/>
  <c r="AV37" i="10"/>
  <c r="D86" i="10"/>
  <c r="J139" i="10"/>
  <c r="AM14" i="10"/>
  <c r="G86" i="10"/>
  <c r="W117" i="10"/>
  <c r="W118" i="10" s="1"/>
  <c r="I145" i="10"/>
  <c r="I31" i="10"/>
  <c r="AK16" i="10"/>
  <c r="AM16" i="10" s="1"/>
  <c r="K24" i="10"/>
  <c r="M24" i="10" s="1"/>
  <c r="O24" i="10" s="1"/>
  <c r="I86" i="10"/>
  <c r="D145" i="10"/>
  <c r="D173" i="10" s="1"/>
  <c r="I171" i="10"/>
  <c r="J171" i="10" s="1"/>
  <c r="AW29" i="10"/>
  <c r="C52" i="10"/>
  <c r="K79" i="10"/>
  <c r="K102" i="10"/>
  <c r="L102" i="10" s="1"/>
  <c r="C171" i="10"/>
  <c r="C173" i="10" s="1"/>
  <c r="M31" i="10"/>
  <c r="AX24" i="10"/>
  <c r="AY24" i="10" s="1"/>
  <c r="K122" i="10"/>
  <c r="M122" i="10" s="1"/>
  <c r="O122" i="10" s="1"/>
  <c r="O129" i="10" s="1"/>
  <c r="G55" i="5" s="1"/>
  <c r="L55" i="5" s="1"/>
  <c r="I129" i="10"/>
  <c r="J129" i="10" s="1"/>
  <c r="M142" i="10"/>
  <c r="M145" i="10" s="1"/>
  <c r="K145" i="10"/>
  <c r="L139" i="10"/>
  <c r="I45" i="10"/>
  <c r="G50" i="10"/>
  <c r="G132" i="10"/>
  <c r="D52" i="10"/>
  <c r="D88" i="10" s="1"/>
  <c r="D90" i="10" s="1"/>
  <c r="AF161" i="10"/>
  <c r="G171" i="10"/>
  <c r="AM15" i="10"/>
  <c r="E173" i="10"/>
  <c r="H145" i="10"/>
  <c r="AM13" i="10"/>
  <c r="AM17" i="10" s="1"/>
  <c r="I47" i="10"/>
  <c r="G134" i="10"/>
  <c r="G133" i="10"/>
  <c r="I46" i="10"/>
  <c r="AF102" i="10"/>
  <c r="H102" i="10"/>
  <c r="G135" i="10"/>
  <c r="I48" i="10"/>
  <c r="M129" i="10"/>
  <c r="AV34" i="10"/>
  <c r="G34" i="10" s="1"/>
  <c r="G129" i="10"/>
  <c r="AV36" i="10"/>
  <c r="F115" i="10"/>
  <c r="F173" i="10" s="1"/>
  <c r="AF115" i="10"/>
  <c r="AV33" i="10"/>
  <c r="M95" i="10"/>
  <c r="M102" i="10" s="1"/>
  <c r="K111" i="10"/>
  <c r="M111" i="10" s="1"/>
  <c r="O111" i="10" s="1"/>
  <c r="AT28" i="10"/>
  <c r="AX28" i="10" s="1"/>
  <c r="AY28" i="10" s="1"/>
  <c r="G29" i="10" s="1"/>
  <c r="AV30" i="10"/>
  <c r="K31" i="10"/>
  <c r="AV38" i="10"/>
  <c r="G38" i="10" s="1"/>
  <c r="I38" i="10" s="1"/>
  <c r="K38" i="10" s="1"/>
  <c r="M38" i="10" s="1"/>
  <c r="O38" i="10" s="1"/>
  <c r="AV39" i="10"/>
  <c r="I102" i="10"/>
  <c r="J102" i="10" s="1"/>
  <c r="K129" i="10"/>
  <c r="L129" i="10" s="1"/>
  <c r="AV35" i="10"/>
  <c r="G35" i="10" s="1"/>
  <c r="M106" i="10"/>
  <c r="D75" i="18" l="1"/>
  <c r="I75" i="18" s="1"/>
  <c r="K45" i="12"/>
  <c r="K45" i="14"/>
  <c r="I45" i="12"/>
  <c r="S45" i="12" s="1"/>
  <c r="G25" i="11"/>
  <c r="Q24" i="11" s="1"/>
  <c r="G45" i="14"/>
  <c r="G75" i="14" s="1"/>
  <c r="L75" i="14" s="1"/>
  <c r="D76" i="18"/>
  <c r="N75" i="18" s="1"/>
  <c r="D75" i="14"/>
  <c r="I75" i="14" s="1"/>
  <c r="D76" i="13"/>
  <c r="N75" i="13" s="1"/>
  <c r="I45" i="17"/>
  <c r="Q19" i="19"/>
  <c r="V19" i="19" s="1"/>
  <c r="L24" i="14"/>
  <c r="G25" i="17"/>
  <c r="G46" i="17" s="1"/>
  <c r="H45" i="17"/>
  <c r="O45" i="11"/>
  <c r="T45" i="11" s="1"/>
  <c r="D76" i="20"/>
  <c r="K45" i="20"/>
  <c r="I45" i="11"/>
  <c r="E76" i="13"/>
  <c r="O75" i="13" s="1"/>
  <c r="T75" i="13" s="1"/>
  <c r="I45" i="20"/>
  <c r="S45" i="20" s="1"/>
  <c r="O24" i="19"/>
  <c r="T24" i="19" s="1"/>
  <c r="J45" i="20"/>
  <c r="J45" i="13"/>
  <c r="T45" i="13" s="1"/>
  <c r="J45" i="19"/>
  <c r="G25" i="20"/>
  <c r="Q24" i="20" s="1"/>
  <c r="V24" i="20" s="1"/>
  <c r="Q19" i="12"/>
  <c r="V19" i="12" s="1"/>
  <c r="V19" i="20"/>
  <c r="E75" i="12"/>
  <c r="J75" i="12" s="1"/>
  <c r="N45" i="17"/>
  <c r="O24" i="20"/>
  <c r="T24" i="20" s="1"/>
  <c r="N45" i="19"/>
  <c r="P24" i="20"/>
  <c r="U24" i="20" s="1"/>
  <c r="P45" i="20"/>
  <c r="F76" i="20"/>
  <c r="Q24" i="18"/>
  <c r="G46" i="18"/>
  <c r="Q45" i="18" s="1"/>
  <c r="K45" i="11"/>
  <c r="Q19" i="18"/>
  <c r="V19" i="18" s="1"/>
  <c r="I45" i="19"/>
  <c r="D75" i="19"/>
  <c r="I75" i="19" s="1"/>
  <c r="K45" i="18"/>
  <c r="F75" i="18"/>
  <c r="K75" i="18" s="1"/>
  <c r="N75" i="17"/>
  <c r="S75" i="17" s="1"/>
  <c r="O45" i="12"/>
  <c r="T45" i="12" s="1"/>
  <c r="E76" i="12"/>
  <c r="E75" i="11"/>
  <c r="J75" i="11" s="1"/>
  <c r="N75" i="19"/>
  <c r="E46" i="18"/>
  <c r="O24" i="18"/>
  <c r="T24" i="18" s="1"/>
  <c r="P24" i="13"/>
  <c r="U24" i="13" s="1"/>
  <c r="F46" i="13"/>
  <c r="F46" i="19"/>
  <c r="P24" i="19"/>
  <c r="U24" i="19" s="1"/>
  <c r="G25" i="13"/>
  <c r="Q19" i="13"/>
  <c r="V19" i="13" s="1"/>
  <c r="O24" i="14"/>
  <c r="T24" i="14" s="1"/>
  <c r="E46" i="14"/>
  <c r="G45" i="19"/>
  <c r="L24" i="19"/>
  <c r="D75" i="13"/>
  <c r="I75" i="13" s="1"/>
  <c r="I45" i="13"/>
  <c r="S45" i="13" s="1"/>
  <c r="F46" i="14"/>
  <c r="P24" i="14"/>
  <c r="U24" i="14" s="1"/>
  <c r="F46" i="18"/>
  <c r="P24" i="18"/>
  <c r="U24" i="18" s="1"/>
  <c r="E76" i="20"/>
  <c r="O45" i="20"/>
  <c r="F75" i="13"/>
  <c r="K75" i="13" s="1"/>
  <c r="K45" i="13"/>
  <c r="E76" i="19"/>
  <c r="O45" i="19"/>
  <c r="F75" i="19"/>
  <c r="K75" i="19" s="1"/>
  <c r="K45" i="19"/>
  <c r="H45" i="20"/>
  <c r="G45" i="20"/>
  <c r="O45" i="17"/>
  <c r="E76" i="17"/>
  <c r="P24" i="17"/>
  <c r="U24" i="17" s="1"/>
  <c r="F46" i="17"/>
  <c r="G46" i="12"/>
  <c r="Q24" i="12"/>
  <c r="V24" i="12" s="1"/>
  <c r="D76" i="14"/>
  <c r="N75" i="14" s="1"/>
  <c r="N45" i="14"/>
  <c r="S45" i="14" s="1"/>
  <c r="E75" i="17"/>
  <c r="J75" i="17" s="1"/>
  <c r="J45" i="17"/>
  <c r="H45" i="13"/>
  <c r="L24" i="13"/>
  <c r="S45" i="18"/>
  <c r="N75" i="12"/>
  <c r="S75" i="12" s="1"/>
  <c r="H45" i="19"/>
  <c r="G25" i="14"/>
  <c r="K45" i="17"/>
  <c r="F75" i="17"/>
  <c r="K75" i="17" s="1"/>
  <c r="F46" i="12"/>
  <c r="P24" i="12"/>
  <c r="U24" i="12" s="1"/>
  <c r="G46" i="19"/>
  <c r="Q24" i="19"/>
  <c r="L24" i="18"/>
  <c r="H45" i="18"/>
  <c r="G45" i="18"/>
  <c r="E75" i="18"/>
  <c r="J75" i="18" s="1"/>
  <c r="J45" i="18"/>
  <c r="P24" i="11"/>
  <c r="U24" i="11" s="1"/>
  <c r="F46" i="11"/>
  <c r="L24" i="11"/>
  <c r="H45" i="11"/>
  <c r="G46" i="11"/>
  <c r="D76" i="11"/>
  <c r="N45" i="11"/>
  <c r="V19" i="11"/>
  <c r="O75" i="11"/>
  <c r="G56" i="5"/>
  <c r="Q55" i="5" s="1"/>
  <c r="V55" i="5" s="1"/>
  <c r="G52" i="5"/>
  <c r="Q51" i="5" s="1"/>
  <c r="V51" i="5" s="1"/>
  <c r="G36" i="5"/>
  <c r="Q35" i="5" s="1"/>
  <c r="V35" i="5" s="1"/>
  <c r="G68" i="5"/>
  <c r="Q67" i="5" s="1"/>
  <c r="V67" i="5" s="1"/>
  <c r="M115" i="10"/>
  <c r="O106" i="10"/>
  <c r="O115" i="10" s="1"/>
  <c r="O31" i="10"/>
  <c r="G15" i="5" s="1"/>
  <c r="L15" i="5" s="1"/>
  <c r="G33" i="10"/>
  <c r="G37" i="10"/>
  <c r="O86" i="10"/>
  <c r="G42" i="5" s="1"/>
  <c r="L42" i="5" s="1"/>
  <c r="D175" i="10"/>
  <c r="D181" i="10" s="1"/>
  <c r="C88" i="10"/>
  <c r="C90" i="10" s="1"/>
  <c r="C175" i="10" s="1"/>
  <c r="C181" i="10" s="1"/>
  <c r="G65" i="5"/>
  <c r="L65" i="5" s="1"/>
  <c r="K39" i="10"/>
  <c r="J145" i="10"/>
  <c r="AT30" i="10"/>
  <c r="E175" i="10"/>
  <c r="E181" i="10" s="1"/>
  <c r="G36" i="10"/>
  <c r="I132" i="10"/>
  <c r="I50" i="10"/>
  <c r="K45" i="10"/>
  <c r="AF171" i="10"/>
  <c r="H171" i="10"/>
  <c r="L145" i="10"/>
  <c r="AY30" i="10"/>
  <c r="G24" i="10"/>
  <c r="I133" i="10"/>
  <c r="K46" i="10"/>
  <c r="K115" i="10"/>
  <c r="K47" i="10"/>
  <c r="I134" i="10"/>
  <c r="AF129" i="10"/>
  <c r="H129" i="10"/>
  <c r="I135" i="10"/>
  <c r="K48" i="10"/>
  <c r="G136" i="10"/>
  <c r="L45" i="14" l="1"/>
  <c r="S75" i="18"/>
  <c r="S75" i="14"/>
  <c r="S45" i="19"/>
  <c r="S45" i="11"/>
  <c r="S45" i="17"/>
  <c r="Q24" i="17"/>
  <c r="V24" i="17" s="1"/>
  <c r="G46" i="20"/>
  <c r="G76" i="20" s="1"/>
  <c r="U45" i="20"/>
  <c r="N75" i="20"/>
  <c r="S75" i="20" s="1"/>
  <c r="T45" i="20"/>
  <c r="T45" i="19"/>
  <c r="G76" i="18"/>
  <c r="Q75" i="18" s="1"/>
  <c r="S75" i="19"/>
  <c r="V24" i="18"/>
  <c r="P75" i="20"/>
  <c r="U75" i="20" s="1"/>
  <c r="T75" i="11"/>
  <c r="T45" i="17"/>
  <c r="G46" i="14"/>
  <c r="Q24" i="14"/>
  <c r="V24" i="14" s="1"/>
  <c r="Q45" i="17"/>
  <c r="V45" i="17" s="1"/>
  <c r="G76" i="17"/>
  <c r="P45" i="19"/>
  <c r="U45" i="19" s="1"/>
  <c r="F76" i="19"/>
  <c r="S75" i="13"/>
  <c r="G76" i="12"/>
  <c r="Q45" i="12"/>
  <c r="V45" i="12" s="1"/>
  <c r="E76" i="14"/>
  <c r="O75" i="14" s="1"/>
  <c r="T75" i="14" s="1"/>
  <c r="O45" i="14"/>
  <c r="T45" i="14" s="1"/>
  <c r="P45" i="13"/>
  <c r="U45" i="13" s="1"/>
  <c r="F76" i="13"/>
  <c r="P45" i="17"/>
  <c r="U45" i="17" s="1"/>
  <c r="F76" i="17"/>
  <c r="O75" i="12"/>
  <c r="T75" i="12" s="1"/>
  <c r="G76" i="19"/>
  <c r="Q45" i="19"/>
  <c r="O75" i="20"/>
  <c r="T75" i="20" s="1"/>
  <c r="E76" i="18"/>
  <c r="O45" i="18"/>
  <c r="T45" i="18" s="1"/>
  <c r="G46" i="13"/>
  <c r="Q24" i="13"/>
  <c r="V24" i="13" s="1"/>
  <c r="P45" i="12"/>
  <c r="U45" i="12" s="1"/>
  <c r="F76" i="12"/>
  <c r="V24" i="19"/>
  <c r="G75" i="20"/>
  <c r="L75" i="20" s="1"/>
  <c r="L45" i="20"/>
  <c r="O75" i="19"/>
  <c r="T75" i="19" s="1"/>
  <c r="P45" i="18"/>
  <c r="U45" i="18" s="1"/>
  <c r="F76" i="18"/>
  <c r="G75" i="19"/>
  <c r="L75" i="19" s="1"/>
  <c r="L45" i="19"/>
  <c r="O75" i="17"/>
  <c r="T75" i="17" s="1"/>
  <c r="G75" i="18"/>
  <c r="L75" i="18" s="1"/>
  <c r="L45" i="18"/>
  <c r="V45" i="18" s="1"/>
  <c r="F76" i="14"/>
  <c r="P75" i="14" s="1"/>
  <c r="U75" i="14" s="1"/>
  <c r="P45" i="14"/>
  <c r="U45" i="14" s="1"/>
  <c r="G76" i="11"/>
  <c r="Q45" i="11"/>
  <c r="V45" i="11" s="1"/>
  <c r="V24" i="11"/>
  <c r="N75" i="11"/>
  <c r="S75" i="11" s="1"/>
  <c r="P45" i="11"/>
  <c r="U45" i="11" s="1"/>
  <c r="F76" i="11"/>
  <c r="G16" i="5"/>
  <c r="Q15" i="5" s="1"/>
  <c r="V15" i="5" s="1"/>
  <c r="G66" i="5"/>
  <c r="Q65" i="5" s="1"/>
  <c r="V65" i="5" s="1"/>
  <c r="G71" i="5"/>
  <c r="L71" i="5" s="1"/>
  <c r="G43" i="5"/>
  <c r="Q42" i="5" s="1"/>
  <c r="V42" i="5" s="1"/>
  <c r="M39" i="10"/>
  <c r="K41" i="10"/>
  <c r="G53" i="5"/>
  <c r="L53" i="5" s="1"/>
  <c r="K133" i="10"/>
  <c r="M46" i="10"/>
  <c r="M45" i="10"/>
  <c r="O45" i="10" s="1"/>
  <c r="K50" i="10"/>
  <c r="K132" i="10"/>
  <c r="AF136" i="10"/>
  <c r="H115" i="10"/>
  <c r="H173" i="10" s="1"/>
  <c r="G173" i="10"/>
  <c r="AF173" i="10" s="1"/>
  <c r="I52" i="10"/>
  <c r="I88" i="10" s="1"/>
  <c r="I90" i="10" s="1"/>
  <c r="J31" i="10"/>
  <c r="K134" i="10"/>
  <c r="M47" i="10"/>
  <c r="K135" i="10"/>
  <c r="M48" i="10"/>
  <c r="G41" i="10"/>
  <c r="G52" i="10" s="1"/>
  <c r="G88" i="10" s="1"/>
  <c r="G90" i="10" s="1"/>
  <c r="G31" i="10"/>
  <c r="H31" i="10" s="1"/>
  <c r="I136" i="10"/>
  <c r="Q45" i="20" l="1"/>
  <c r="V45" i="20" s="1"/>
  <c r="V75" i="18"/>
  <c r="G76" i="13"/>
  <c r="Q45" i="13"/>
  <c r="V45" i="13" s="1"/>
  <c r="V45" i="19"/>
  <c r="Q75" i="19"/>
  <c r="V75" i="19" s="1"/>
  <c r="P75" i="18"/>
  <c r="U75" i="18" s="1"/>
  <c r="O75" i="18"/>
  <c r="T75" i="18" s="1"/>
  <c r="Q75" i="12"/>
  <c r="V75" i="12" s="1"/>
  <c r="P75" i="17"/>
  <c r="U75" i="17" s="1"/>
  <c r="P75" i="12"/>
  <c r="U75" i="12" s="1"/>
  <c r="P75" i="19"/>
  <c r="U75" i="19" s="1"/>
  <c r="Q75" i="20"/>
  <c r="V75" i="20" s="1"/>
  <c r="P75" i="13"/>
  <c r="U75" i="13" s="1"/>
  <c r="Q75" i="17"/>
  <c r="V75" i="17" s="1"/>
  <c r="G76" i="14"/>
  <c r="Q75" i="14" s="1"/>
  <c r="V75" i="14" s="1"/>
  <c r="Q45" i="14"/>
  <c r="V45" i="14" s="1"/>
  <c r="Q75" i="11"/>
  <c r="V75" i="11" s="1"/>
  <c r="P75" i="11"/>
  <c r="U75" i="11" s="1"/>
  <c r="G54" i="5"/>
  <c r="Q53" i="5" s="1"/>
  <c r="V53" i="5" s="1"/>
  <c r="G72" i="5"/>
  <c r="Q71" i="5" s="1"/>
  <c r="V71" i="5" s="1"/>
  <c r="M135" i="10"/>
  <c r="O48" i="10"/>
  <c r="O135" i="10" s="1"/>
  <c r="M134" i="10"/>
  <c r="O47" i="10"/>
  <c r="O134" i="10" s="1"/>
  <c r="O132" i="10"/>
  <c r="M133" i="10"/>
  <c r="O46" i="10"/>
  <c r="O133" i="10" s="1"/>
  <c r="M41" i="10"/>
  <c r="K136" i="10"/>
  <c r="K52" i="10"/>
  <c r="L31" i="10"/>
  <c r="M50" i="10"/>
  <c r="M132" i="10"/>
  <c r="J115" i="10"/>
  <c r="J173" i="10" s="1"/>
  <c r="I173" i="10"/>
  <c r="I175" i="10" s="1"/>
  <c r="I181" i="10" s="1"/>
  <c r="G175" i="10"/>
  <c r="Q75" i="13" l="1"/>
  <c r="V75" i="13" s="1"/>
  <c r="G17" i="5"/>
  <c r="L17" i="5" s="1"/>
  <c r="O41" i="10"/>
  <c r="M52" i="10"/>
  <c r="M88" i="10" s="1"/>
  <c r="M90" i="10" s="1"/>
  <c r="O50" i="10"/>
  <c r="M136" i="10"/>
  <c r="M173" i="10" s="1"/>
  <c r="O136" i="10"/>
  <c r="M175" i="10"/>
  <c r="M181" i="10" s="1"/>
  <c r="K173" i="10"/>
  <c r="L115" i="10"/>
  <c r="L173" i="10" s="1"/>
  <c r="AF175" i="10"/>
  <c r="G181" i="10"/>
  <c r="AE52" i="10"/>
  <c r="K88" i="10"/>
  <c r="K90" i="10" s="1"/>
  <c r="G19" i="5" l="1"/>
  <c r="L19" i="5" s="1"/>
  <c r="G18" i="5"/>
  <c r="Q17" i="5" s="1"/>
  <c r="V17" i="5" s="1"/>
  <c r="G57" i="5"/>
  <c r="L57" i="5" s="1"/>
  <c r="O173" i="10"/>
  <c r="G22" i="5"/>
  <c r="L22" i="5" s="1"/>
  <c r="O52" i="10"/>
  <c r="O88" i="10" s="1"/>
  <c r="K175" i="10"/>
  <c r="AE175" i="10" s="1"/>
  <c r="U173" i="10"/>
  <c r="G24" i="5" l="1"/>
  <c r="L24" i="5" s="1"/>
  <c r="G23" i="5"/>
  <c r="Q22" i="5" s="1"/>
  <c r="V22" i="5" s="1"/>
  <c r="G20" i="5"/>
  <c r="Q19" i="5" s="1"/>
  <c r="V19" i="5" s="1"/>
  <c r="G73" i="5"/>
  <c r="L73" i="5" s="1"/>
  <c r="O90" i="10"/>
  <c r="O175" i="10" s="1"/>
  <c r="G58" i="5"/>
  <c r="Q57" i="5" s="1"/>
  <c r="V57" i="5" s="1"/>
  <c r="H73" i="5"/>
  <c r="K181" i="10"/>
  <c r="G45" i="5" l="1"/>
  <c r="L45" i="5" s="1"/>
  <c r="G74" i="5"/>
  <c r="Q73" i="5" s="1"/>
  <c r="V73" i="5" s="1"/>
  <c r="G25" i="5"/>
  <c r="Q24" i="5" s="1"/>
  <c r="V24" i="5" s="1"/>
  <c r="O181" i="10"/>
  <c r="F105" i="8"/>
  <c r="E105" i="8"/>
  <c r="F102" i="8"/>
  <c r="E102" i="8"/>
  <c r="D102" i="8"/>
  <c r="D105" i="8" s="1"/>
  <c r="F58" i="8"/>
  <c r="F61" i="8" s="1"/>
  <c r="F108" i="8" s="1"/>
  <c r="E58" i="8"/>
  <c r="E61" i="8" s="1"/>
  <c r="D58" i="8"/>
  <c r="F31" i="8"/>
  <c r="E31" i="8"/>
  <c r="E30" i="8"/>
  <c r="D30" i="8"/>
  <c r="F25" i="8"/>
  <c r="E25" i="8"/>
  <c r="D25" i="8"/>
  <c r="D31" i="8" s="1"/>
  <c r="D61" i="8" s="1"/>
  <c r="D108" i="8" s="1"/>
  <c r="F24" i="8"/>
  <c r="F30" i="8" s="1"/>
  <c r="E24" i="8"/>
  <c r="D24" i="8"/>
  <c r="F102" i="7"/>
  <c r="F105" i="7" s="1"/>
  <c r="E102" i="7"/>
  <c r="E105" i="7" s="1"/>
  <c r="D102" i="7"/>
  <c r="D105" i="7" s="1"/>
  <c r="F58" i="7"/>
  <c r="F61" i="7" s="1"/>
  <c r="E58" i="7"/>
  <c r="E61" i="7" s="1"/>
  <c r="E108" i="7" s="1"/>
  <c r="D58" i="7"/>
  <c r="F31" i="7"/>
  <c r="E31" i="7"/>
  <c r="E30" i="7"/>
  <c r="D30" i="7"/>
  <c r="F25" i="7"/>
  <c r="E25" i="7"/>
  <c r="D25" i="7"/>
  <c r="D31" i="7" s="1"/>
  <c r="F24" i="7"/>
  <c r="F30" i="7" s="1"/>
  <c r="E24" i="7"/>
  <c r="D24" i="7"/>
  <c r="E72" i="5"/>
  <c r="O71" i="5" s="1"/>
  <c r="T71" i="5" s="1"/>
  <c r="D74" i="5"/>
  <c r="N73" i="5" s="1"/>
  <c r="S73" i="5" s="1"/>
  <c r="E43" i="5"/>
  <c r="O42" i="5" s="1"/>
  <c r="T42" i="5" s="1"/>
  <c r="F43" i="5"/>
  <c r="P42" i="5" s="1"/>
  <c r="U42" i="5" s="1"/>
  <c r="D43" i="5"/>
  <c r="N42" i="5" s="1"/>
  <c r="S42" i="5" s="1"/>
  <c r="E20" i="5"/>
  <c r="O19" i="5" s="1"/>
  <c r="F20" i="5"/>
  <c r="P19" i="5" s="1"/>
  <c r="D20" i="5"/>
  <c r="N19" i="5" s="1"/>
  <c r="F19" i="5"/>
  <c r="K19" i="5" s="1"/>
  <c r="E19" i="5"/>
  <c r="J19" i="5" s="1"/>
  <c r="D19" i="5"/>
  <c r="I19" i="5" s="1"/>
  <c r="G75" i="5" l="1"/>
  <c r="L75" i="5" s="1"/>
  <c r="T19" i="5"/>
  <c r="S19" i="5"/>
  <c r="U19" i="5"/>
  <c r="D24" i="5"/>
  <c r="I24" i="5" s="1"/>
  <c r="G46" i="5"/>
  <c r="Q45" i="5" s="1"/>
  <c r="V45" i="5" s="1"/>
  <c r="E24" i="5"/>
  <c r="J24" i="5" s="1"/>
  <c r="F24" i="5"/>
  <c r="K24" i="5" s="1"/>
  <c r="E74" i="5"/>
  <c r="O73" i="5" s="1"/>
  <c r="T73" i="5" s="1"/>
  <c r="D25" i="5"/>
  <c r="N24" i="5" s="1"/>
  <c r="F25" i="5"/>
  <c r="P24" i="5" s="1"/>
  <c r="E25" i="5"/>
  <c r="O24" i="5" s="1"/>
  <c r="E108" i="8"/>
  <c r="D61" i="7"/>
  <c r="D108" i="7" s="1"/>
  <c r="F108" i="7"/>
  <c r="F46" i="5" l="1"/>
  <c r="P45" i="5" s="1"/>
  <c r="D46" i="5"/>
  <c r="N45" i="5" s="1"/>
  <c r="T24" i="5"/>
  <c r="U24" i="5"/>
  <c r="S24" i="5"/>
  <c r="G76" i="5"/>
  <c r="Q75" i="5" s="1"/>
  <c r="V75" i="5" s="1"/>
  <c r="E45" i="5"/>
  <c r="J45" i="5" s="1"/>
  <c r="F45" i="5"/>
  <c r="K45" i="5" s="1"/>
  <c r="E46" i="5"/>
  <c r="O45" i="5" s="1"/>
  <c r="D45" i="5"/>
  <c r="I45" i="5" s="1"/>
  <c r="K77" i="1"/>
  <c r="K78" i="1"/>
  <c r="I144" i="1"/>
  <c r="D76" i="5" l="1"/>
  <c r="N75" i="5" s="1"/>
  <c r="T45" i="5"/>
  <c r="F76" i="5"/>
  <c r="P75" i="5" s="1"/>
  <c r="S45" i="5"/>
  <c r="U45" i="5"/>
  <c r="D75" i="5"/>
  <c r="I75" i="5" s="1"/>
  <c r="E75" i="5"/>
  <c r="J75" i="5" s="1"/>
  <c r="E76" i="5"/>
  <c r="O75" i="5" s="1"/>
  <c r="F75" i="5"/>
  <c r="K75" i="5" s="1"/>
  <c r="I82" i="1"/>
  <c r="S75" i="5" l="1"/>
  <c r="U75" i="5"/>
  <c r="T75" i="5"/>
  <c r="K79" i="1"/>
  <c r="K73" i="1"/>
  <c r="K119" i="1"/>
  <c r="M119" i="1" s="1"/>
  <c r="K121" i="1"/>
  <c r="M144" i="1"/>
  <c r="I17" i="1"/>
  <c r="I19" i="1" s="1"/>
  <c r="I148" i="1"/>
  <c r="I126" i="1"/>
  <c r="K126" i="1" s="1"/>
  <c r="M126" i="1" s="1"/>
  <c r="T116" i="1"/>
  <c r="M154" i="1"/>
  <c r="M155" i="1"/>
  <c r="I142" i="1"/>
  <c r="J139" i="1" s="1"/>
  <c r="M121" i="1"/>
  <c r="I111" i="1"/>
  <c r="I115" i="1" s="1"/>
  <c r="G115" i="1"/>
  <c r="AC115" i="1" s="1"/>
  <c r="K106" i="1"/>
  <c r="M106" i="1" s="1"/>
  <c r="I96" i="1"/>
  <c r="K96" i="1" s="1"/>
  <c r="K95" i="1"/>
  <c r="M95" i="1" s="1"/>
  <c r="I84" i="1"/>
  <c r="M69" i="1"/>
  <c r="M164" i="1"/>
  <c r="M165" i="1" s="1"/>
  <c r="M160" i="1"/>
  <c r="M159" i="1"/>
  <c r="M161" i="1" s="1"/>
  <c r="M158" i="1"/>
  <c r="M100" i="1"/>
  <c r="M84" i="1"/>
  <c r="M78" i="1"/>
  <c r="M77" i="1"/>
  <c r="M64" i="1"/>
  <c r="M58" i="1"/>
  <c r="M17" i="1"/>
  <c r="M19" i="1" s="1"/>
  <c r="K144" i="1"/>
  <c r="K120" i="1"/>
  <c r="M120" i="1" s="1"/>
  <c r="K113" i="1"/>
  <c r="M113" i="1"/>
  <c r="K109" i="1"/>
  <c r="M109" i="1" s="1"/>
  <c r="K107" i="1"/>
  <c r="M107" i="1" s="1"/>
  <c r="K105" i="1"/>
  <c r="K118" i="1"/>
  <c r="M118" i="1" s="1"/>
  <c r="K128" i="1"/>
  <c r="M128" i="1" s="1"/>
  <c r="I67" i="1"/>
  <c r="I69" i="1" s="1"/>
  <c r="I34" i="1"/>
  <c r="K34" i="1" s="1"/>
  <c r="M34" i="1" s="1"/>
  <c r="I35" i="1"/>
  <c r="K35" i="1"/>
  <c r="M35" i="1" s="1"/>
  <c r="I36" i="1"/>
  <c r="I37" i="1"/>
  <c r="I33" i="1"/>
  <c r="K33" i="1" s="1"/>
  <c r="M33" i="1" s="1"/>
  <c r="I25" i="1"/>
  <c r="I26" i="1"/>
  <c r="K26" i="1"/>
  <c r="M26" i="1" s="1"/>
  <c r="I27" i="1"/>
  <c r="K27" i="1" s="1"/>
  <c r="M27" i="1" s="1"/>
  <c r="I28" i="1"/>
  <c r="K28" i="1" s="1"/>
  <c r="I29" i="1"/>
  <c r="K29" i="1" s="1"/>
  <c r="M29" i="1" s="1"/>
  <c r="I30" i="1"/>
  <c r="K30" i="1" s="1"/>
  <c r="M30" i="1" s="1"/>
  <c r="I24" i="1"/>
  <c r="K17" i="1"/>
  <c r="K19" i="1" s="1"/>
  <c r="H139" i="1"/>
  <c r="H145" i="1" s="1"/>
  <c r="E31" i="1"/>
  <c r="F31" i="1" s="1"/>
  <c r="D141" i="1"/>
  <c r="D145" i="1" s="1"/>
  <c r="D144" i="1"/>
  <c r="D45" i="1"/>
  <c r="C44" i="1"/>
  <c r="C50" i="1" s="1"/>
  <c r="AI16" i="1"/>
  <c r="AI15" i="1"/>
  <c r="AI14" i="1"/>
  <c r="AI13" i="1"/>
  <c r="AI12" i="1"/>
  <c r="AG16" i="1"/>
  <c r="AH16" i="1" s="1"/>
  <c r="AJ16" i="1" s="1"/>
  <c r="AG15" i="1"/>
  <c r="AG14" i="1"/>
  <c r="AG13" i="1"/>
  <c r="AG12" i="1"/>
  <c r="AF13" i="1"/>
  <c r="AF14" i="1"/>
  <c r="AH14" i="1"/>
  <c r="AF15" i="1"/>
  <c r="AH15" i="1" s="1"/>
  <c r="AF16" i="1"/>
  <c r="AF12" i="1"/>
  <c r="AS25" i="1"/>
  <c r="AS26" i="1"/>
  <c r="G46" i="1"/>
  <c r="I46" i="1"/>
  <c r="I133" i="1" s="1"/>
  <c r="AS27" i="1"/>
  <c r="G47" i="1" s="1"/>
  <c r="AS29" i="1"/>
  <c r="G159" i="1"/>
  <c r="G161" i="1"/>
  <c r="AC161" i="1"/>
  <c r="G17" i="1"/>
  <c r="G19" i="1" s="1"/>
  <c r="I161" i="1"/>
  <c r="I165" i="1"/>
  <c r="K164" i="1"/>
  <c r="K165" i="1" s="1"/>
  <c r="K160" i="1"/>
  <c r="K158" i="1"/>
  <c r="K161" i="1"/>
  <c r="K155" i="1"/>
  <c r="I155" i="1"/>
  <c r="I127" i="1"/>
  <c r="K127" i="1" s="1"/>
  <c r="M127" i="1" s="1"/>
  <c r="I124" i="1"/>
  <c r="K124" i="1" s="1"/>
  <c r="M124" i="1" s="1"/>
  <c r="I123" i="1"/>
  <c r="K123" i="1"/>
  <c r="M123" i="1" s="1"/>
  <c r="K100" i="1"/>
  <c r="I100" i="1"/>
  <c r="I102" i="1"/>
  <c r="J102" i="1" s="1"/>
  <c r="I79" i="1"/>
  <c r="I74" i="1"/>
  <c r="K84" i="1"/>
  <c r="I64" i="1"/>
  <c r="K58" i="1"/>
  <c r="I58" i="1"/>
  <c r="G165" i="1"/>
  <c r="G171" i="1" s="1"/>
  <c r="G155" i="1"/>
  <c r="AC155" i="1" s="1"/>
  <c r="G145" i="1"/>
  <c r="AC145" i="1" s="1"/>
  <c r="AF126" i="1"/>
  <c r="G122" i="1"/>
  <c r="I122" i="1"/>
  <c r="G121" i="1"/>
  <c r="G129" i="1" s="1"/>
  <c r="AG120" i="1"/>
  <c r="AF121" i="1"/>
  <c r="G100" i="1"/>
  <c r="G102" i="1"/>
  <c r="H102" i="1" s="1"/>
  <c r="G84" i="1"/>
  <c r="G79" i="1"/>
  <c r="G74" i="1"/>
  <c r="G69" i="1"/>
  <c r="G64" i="1"/>
  <c r="G58" i="1"/>
  <c r="G30" i="1"/>
  <c r="G27" i="1"/>
  <c r="G25" i="1"/>
  <c r="K25" i="1"/>
  <c r="M25" i="1" s="1"/>
  <c r="AT28" i="1"/>
  <c r="AT27" i="1"/>
  <c r="AT26" i="1"/>
  <c r="AT24" i="1"/>
  <c r="AS24" i="1"/>
  <c r="G45" i="1"/>
  <c r="AN25" i="1"/>
  <c r="AO25" i="1" s="1"/>
  <c r="AQ25" i="1" s="1"/>
  <c r="AN26" i="1"/>
  <c r="AO26" i="1"/>
  <c r="AQ26" i="1" s="1"/>
  <c r="AU26" i="1" s="1"/>
  <c r="AV26" i="1" s="1"/>
  <c r="G26" i="1" s="1"/>
  <c r="AN27" i="1"/>
  <c r="AO27" i="1" s="1"/>
  <c r="AQ27" i="1" s="1"/>
  <c r="AU27" i="1" s="1"/>
  <c r="AV27" i="1" s="1"/>
  <c r="G28" i="1" s="1"/>
  <c r="AN28" i="1"/>
  <c r="AO28" i="1" s="1"/>
  <c r="AN29" i="1"/>
  <c r="AO29" i="1" s="1"/>
  <c r="AQ29" i="1" s="1"/>
  <c r="AU29" i="1" s="1"/>
  <c r="AN24" i="1"/>
  <c r="AO24" i="1"/>
  <c r="AQ24" i="1"/>
  <c r="AU24" i="1"/>
  <c r="AV24" i="1" s="1"/>
  <c r="AI29" i="1"/>
  <c r="AJ29" i="1" s="1"/>
  <c r="AK29" i="1" s="1"/>
  <c r="AI25" i="1"/>
  <c r="AJ25" i="1" s="1"/>
  <c r="AK25" i="1" s="1"/>
  <c r="AI26" i="1"/>
  <c r="AJ26" i="1"/>
  <c r="AK26" i="1" s="1"/>
  <c r="AI27" i="1"/>
  <c r="AJ27" i="1"/>
  <c r="AK27" i="1" s="1"/>
  <c r="AI28" i="1"/>
  <c r="AJ28" i="1" s="1"/>
  <c r="AK28" i="1" s="1"/>
  <c r="AI24" i="1"/>
  <c r="AJ24" i="1" s="1"/>
  <c r="AK24" i="1" s="1"/>
  <c r="AF28" i="1"/>
  <c r="AQ28" i="1" s="1"/>
  <c r="AU28" i="1" s="1"/>
  <c r="AV28" i="1" s="1"/>
  <c r="G29" i="1" s="1"/>
  <c r="C17" i="1"/>
  <c r="C19" i="1"/>
  <c r="E19" i="1"/>
  <c r="D19" i="1"/>
  <c r="E39" i="1"/>
  <c r="AS36" i="1" s="1"/>
  <c r="AS38" i="1"/>
  <c r="D39" i="1"/>
  <c r="D41" i="1" s="1"/>
  <c r="D52" i="1" s="1"/>
  <c r="C39" i="1"/>
  <c r="C41" i="1" s="1"/>
  <c r="E50" i="1"/>
  <c r="D50" i="1"/>
  <c r="E58" i="1"/>
  <c r="D58" i="1"/>
  <c r="C58" i="1"/>
  <c r="E64" i="1"/>
  <c r="E86" i="1" s="1"/>
  <c r="D64" i="1"/>
  <c r="C64" i="1"/>
  <c r="E69" i="1"/>
  <c r="D69" i="1"/>
  <c r="C69" i="1"/>
  <c r="E74" i="1"/>
  <c r="D74" i="1"/>
  <c r="D86" i="1" s="1"/>
  <c r="C74" i="1"/>
  <c r="E79" i="1"/>
  <c r="D79" i="1"/>
  <c r="C79" i="1"/>
  <c r="E84" i="1"/>
  <c r="D84" i="1"/>
  <c r="C84" i="1"/>
  <c r="E100" i="1"/>
  <c r="E102" i="1"/>
  <c r="F102" i="1" s="1"/>
  <c r="D100" i="1"/>
  <c r="D102" i="1" s="1"/>
  <c r="C100" i="1"/>
  <c r="C102" i="1" s="1"/>
  <c r="E115" i="1"/>
  <c r="D115" i="1"/>
  <c r="C115" i="1"/>
  <c r="E129" i="1"/>
  <c r="D129" i="1"/>
  <c r="C129" i="1"/>
  <c r="E136" i="1"/>
  <c r="D136" i="1"/>
  <c r="C136" i="1"/>
  <c r="E145" i="1"/>
  <c r="F145" i="1"/>
  <c r="C145" i="1"/>
  <c r="E155" i="1"/>
  <c r="D155" i="1"/>
  <c r="C155" i="1"/>
  <c r="E161" i="1"/>
  <c r="D161" i="1"/>
  <c r="C161" i="1"/>
  <c r="C171" i="1" s="1"/>
  <c r="E165" i="1"/>
  <c r="D165" i="1"/>
  <c r="D171" i="1" s="1"/>
  <c r="C165" i="1"/>
  <c r="E169" i="1"/>
  <c r="D169" i="1"/>
  <c r="C169" i="1"/>
  <c r="E179" i="1"/>
  <c r="D179" i="1"/>
  <c r="C179" i="1"/>
  <c r="E41" i="1"/>
  <c r="E52" i="1"/>
  <c r="E53" i="1" s="1"/>
  <c r="K74" i="1"/>
  <c r="K64" i="1"/>
  <c r="AT29" i="1"/>
  <c r="AS37" i="1"/>
  <c r="AS33" i="1"/>
  <c r="K36" i="1"/>
  <c r="M36" i="1" s="1"/>
  <c r="K37" i="1"/>
  <c r="M37" i="1"/>
  <c r="K24" i="1"/>
  <c r="M24" i="1" s="1"/>
  <c r="G86" i="1"/>
  <c r="G133" i="1"/>
  <c r="K111" i="1"/>
  <c r="M111" i="1" s="1"/>
  <c r="F115" i="1"/>
  <c r="M105" i="1"/>
  <c r="AC102" i="1"/>
  <c r="T117" i="1"/>
  <c r="T118" i="1"/>
  <c r="K142" i="1"/>
  <c r="K145" i="1" s="1"/>
  <c r="I145" i="1"/>
  <c r="M142" i="1"/>
  <c r="M145" i="1" s="1"/>
  <c r="I47" i="1" l="1"/>
  <c r="I134" i="1" s="1"/>
  <c r="G134" i="1"/>
  <c r="AS39" i="1"/>
  <c r="I86" i="1"/>
  <c r="AS30" i="1"/>
  <c r="AH13" i="1"/>
  <c r="AJ13" i="1" s="1"/>
  <c r="AJ17" i="1" s="1"/>
  <c r="M79" i="1"/>
  <c r="M86" i="1" s="1"/>
  <c r="AJ14" i="1"/>
  <c r="E88" i="1"/>
  <c r="E90" i="1" s="1"/>
  <c r="AV29" i="1"/>
  <c r="G39" i="1" s="1"/>
  <c r="G33" i="1" s="1"/>
  <c r="AH12" i="1"/>
  <c r="AJ12" i="1" s="1"/>
  <c r="C52" i="1"/>
  <c r="C88" i="1" s="1"/>
  <c r="C90" i="1" s="1"/>
  <c r="C175" i="1" s="1"/>
  <c r="C181" i="1" s="1"/>
  <c r="E173" i="1"/>
  <c r="I171" i="1"/>
  <c r="J171" i="1" s="1"/>
  <c r="I31" i="1"/>
  <c r="E171" i="1"/>
  <c r="F171" i="1" s="1"/>
  <c r="AS34" i="1"/>
  <c r="AS28" i="1"/>
  <c r="G48" i="1" s="1"/>
  <c r="G50" i="1" s="1"/>
  <c r="C86" i="1"/>
  <c r="D173" i="1"/>
  <c r="I129" i="1"/>
  <c r="J129" i="1" s="1"/>
  <c r="K171" i="1"/>
  <c r="L171" i="1" s="1"/>
  <c r="K46" i="1"/>
  <c r="AS35" i="1"/>
  <c r="AJ15" i="1"/>
  <c r="AC129" i="1"/>
  <c r="H129" i="1"/>
  <c r="AC171" i="1"/>
  <c r="H171" i="1"/>
  <c r="M31" i="1"/>
  <c r="AU25" i="1"/>
  <c r="AV25" i="1" s="1"/>
  <c r="G24" i="1" s="1"/>
  <c r="AQ30" i="1"/>
  <c r="D88" i="1"/>
  <c r="D90" i="1" s="1"/>
  <c r="G35" i="1"/>
  <c r="G37" i="1"/>
  <c r="I39" i="1"/>
  <c r="G38" i="1"/>
  <c r="I38" i="1" s="1"/>
  <c r="K38" i="1" s="1"/>
  <c r="M38" i="1" s="1"/>
  <c r="G36" i="1"/>
  <c r="I48" i="1"/>
  <c r="K102" i="1"/>
  <c r="L102" i="1" s="1"/>
  <c r="M96" i="1"/>
  <c r="M102" i="1" s="1"/>
  <c r="C173" i="1"/>
  <c r="M28" i="1"/>
  <c r="K31" i="1"/>
  <c r="M115" i="1"/>
  <c r="L139" i="1"/>
  <c r="K115" i="1"/>
  <c r="F129" i="1"/>
  <c r="F173" i="1" s="1"/>
  <c r="K122" i="1"/>
  <c r="M122" i="1" s="1"/>
  <c r="M129" i="1" s="1"/>
  <c r="AC165" i="1"/>
  <c r="M171" i="1"/>
  <c r="I45" i="1"/>
  <c r="G132" i="1"/>
  <c r="K47" i="1"/>
  <c r="J145" i="1"/>
  <c r="K86" i="1"/>
  <c r="L145" i="1"/>
  <c r="G135" i="1" l="1"/>
  <c r="G136" i="1" s="1"/>
  <c r="D175" i="1"/>
  <c r="D181" i="1" s="1"/>
  <c r="G34" i="1"/>
  <c r="E175" i="1"/>
  <c r="E181" i="1" s="1"/>
  <c r="M46" i="1"/>
  <c r="M133" i="1" s="1"/>
  <c r="K133" i="1"/>
  <c r="K129" i="1"/>
  <c r="L129" i="1" s="1"/>
  <c r="G41" i="1"/>
  <c r="G52" i="1" s="1"/>
  <c r="G88" i="1" s="1"/>
  <c r="G90" i="1" s="1"/>
  <c r="G31" i="1"/>
  <c r="H31" i="1" s="1"/>
  <c r="M47" i="1"/>
  <c r="M134" i="1" s="1"/>
  <c r="K134" i="1"/>
  <c r="K48" i="1"/>
  <c r="I135" i="1"/>
  <c r="I41" i="1"/>
  <c r="K39" i="1"/>
  <c r="AV30" i="1"/>
  <c r="K45" i="1"/>
  <c r="I132" i="1"/>
  <c r="I50" i="1"/>
  <c r="H115" i="1" l="1"/>
  <c r="H173" i="1" s="1"/>
  <c r="G173" i="1"/>
  <c r="AC173" i="1" s="1"/>
  <c r="AC136" i="1"/>
  <c r="I136" i="1"/>
  <c r="M39" i="1"/>
  <c r="M41" i="1" s="1"/>
  <c r="K41" i="1"/>
  <c r="K135" i="1"/>
  <c r="M48" i="1"/>
  <c r="M135" i="1" s="1"/>
  <c r="J31" i="1"/>
  <c r="I52" i="1"/>
  <c r="I88" i="1" s="1"/>
  <c r="I90" i="1" s="1"/>
  <c r="G175" i="1"/>
  <c r="I173" i="1"/>
  <c r="J115" i="1"/>
  <c r="J173" i="1" s="1"/>
  <c r="K50" i="1"/>
  <c r="M45" i="1"/>
  <c r="K132" i="1"/>
  <c r="K136" i="1" s="1"/>
  <c r="I175" i="1" l="1"/>
  <c r="I181" i="1" s="1"/>
  <c r="G181" i="1"/>
  <c r="AC175" i="1"/>
  <c r="L115" i="1"/>
  <c r="L173" i="1" s="1"/>
  <c r="K173" i="1"/>
  <c r="R173" i="1" s="1"/>
  <c r="M132" i="1"/>
  <c r="M136" i="1" s="1"/>
  <c r="M173" i="1" s="1"/>
  <c r="M50" i="1"/>
  <c r="M52" i="1" s="1"/>
  <c r="M88" i="1" s="1"/>
  <c r="M90" i="1" s="1"/>
  <c r="K52" i="1"/>
  <c r="L31" i="1"/>
  <c r="AB52" i="1" l="1"/>
  <c r="K88" i="1"/>
  <c r="K90" i="1" s="1"/>
  <c r="K175" i="1" s="1"/>
  <c r="M175" i="1"/>
  <c r="M181" i="1" s="1"/>
  <c r="AB175" i="1" l="1"/>
  <c r="K18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Terry Killen</author>
  </authors>
  <commentList>
    <comment ref="I55" authorId="0" shapeId="0" xr:uid="{00000000-0006-0000-0000-000001000000}">
      <text>
        <r>
          <rPr>
            <b/>
            <sz val="9"/>
            <color indexed="81"/>
            <rFont val="Tahoma"/>
            <family val="2"/>
          </rPr>
          <t>Terry Killen:</t>
        </r>
        <r>
          <rPr>
            <sz val="9"/>
            <color indexed="81"/>
            <rFont val="Tahoma"/>
            <family val="2"/>
          </rPr>
          <t xml:space="preserve">
should members pay own dinner?  Full price for partners and others?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Terry Killen</author>
  </authors>
  <commentList>
    <comment ref="I55" authorId="0" shapeId="0" xr:uid="{3E69992D-5C1C-4BE4-A910-E1344D765AEE}">
      <text>
        <r>
          <rPr>
            <b/>
            <sz val="9"/>
            <color indexed="81"/>
            <rFont val="Tahoma"/>
            <family val="2"/>
          </rPr>
          <t>Terry Killen:</t>
        </r>
        <r>
          <rPr>
            <sz val="9"/>
            <color indexed="81"/>
            <rFont val="Tahoma"/>
            <family val="2"/>
          </rPr>
          <t xml:space="preserve">
should members pay own dinner?  Full price for partners and others?</t>
        </r>
      </text>
    </comment>
  </commentList>
</comments>
</file>

<file path=xl/sharedStrings.xml><?xml version="1.0" encoding="utf-8"?>
<sst xmlns="http://schemas.openxmlformats.org/spreadsheetml/2006/main" count="2023" uniqueCount="384">
  <si>
    <t>Jun-18</t>
  </si>
  <si>
    <t>Jun-17</t>
  </si>
  <si>
    <t>Jun-16</t>
  </si>
  <si>
    <t>Income</t>
  </si>
  <si>
    <t xml:space="preserve">   Interest Income</t>
  </si>
  <si>
    <t xml:space="preserve">   Interest Income - ATO GIC Remissions</t>
  </si>
  <si>
    <t xml:space="preserve">   Interest Income - Cash Deposits</t>
  </si>
  <si>
    <t xml:space="preserve">   Interest Income - General Accounts</t>
  </si>
  <si>
    <t xml:space="preserve">   Interest Income - Term Deposits</t>
  </si>
  <si>
    <t xml:space="preserve">   Total Interest Income</t>
  </si>
  <si>
    <t xml:space="preserve">   Member Fees</t>
  </si>
  <si>
    <t xml:space="preserve">      Fees - ANC Membership</t>
  </si>
  <si>
    <t xml:space="preserve">      Fees - Collective I - Australia</t>
  </si>
  <si>
    <t xml:space="preserve">      Fees - Collective I - Overseas</t>
  </si>
  <si>
    <t xml:space="preserve">      Fees - Collective II - Australia</t>
  </si>
  <si>
    <t xml:space="preserve">      Fees - Individual 1 - Overseas</t>
  </si>
  <si>
    <t xml:space="preserve">      Fees - Individual I - Australia</t>
  </si>
  <si>
    <t xml:space="preserve">      Fees - Individual II - Australia</t>
  </si>
  <si>
    <t xml:space="preserve">      Retiree Fee Discount</t>
  </si>
  <si>
    <t xml:space="preserve">         Panel Fees</t>
  </si>
  <si>
    <t xml:space="preserve">         Panel Convenor Discount</t>
  </si>
  <si>
    <t xml:space="preserve">         Panel Fees - Collective I - Australia</t>
  </si>
  <si>
    <t xml:space="preserve">         Panel Fees - Collective I - Overseas</t>
  </si>
  <si>
    <t xml:space="preserve">         Panel Fees - Collective II - Australia</t>
  </si>
  <si>
    <t xml:space="preserve">         Panel Fees - Individual - Australia</t>
  </si>
  <si>
    <t xml:space="preserve">         Retiree Panel Discount</t>
  </si>
  <si>
    <t xml:space="preserve">         Total Panel Fees</t>
  </si>
  <si>
    <t xml:space="preserve">      Total Fees - ANC Membership</t>
  </si>
  <si>
    <t xml:space="preserve">      Fees - Paris Membership</t>
  </si>
  <si>
    <t xml:space="preserve">      Fees</t>
  </si>
  <si>
    <t xml:space="preserve">      Fees - Collective I - Paris</t>
  </si>
  <si>
    <t xml:space="preserve">      Fees - Collective II - Paris</t>
  </si>
  <si>
    <t xml:space="preserve">      Fees - Individual I - Paris</t>
  </si>
  <si>
    <t xml:space="preserve">      Fees - Individual II - Paris</t>
  </si>
  <si>
    <t xml:space="preserve">      Paris Fees - Markup</t>
  </si>
  <si>
    <t xml:space="preserve">      Total Fees - Paris Membership</t>
  </si>
  <si>
    <t xml:space="preserve">   Total Member Fees</t>
  </si>
  <si>
    <t xml:space="preserve">   Other Income</t>
  </si>
  <si>
    <t xml:space="preserve">   AGM 2017 Dinner Registrations</t>
  </si>
  <si>
    <t xml:space="preserve">   Other General Income</t>
  </si>
  <si>
    <t xml:space="preserve">   Sales</t>
  </si>
  <si>
    <t xml:space="preserve">   Total Other Income</t>
  </si>
  <si>
    <t xml:space="preserve">   Workshops Seminars and Conferences</t>
  </si>
  <si>
    <t xml:space="preserve">   Vosloo Master Class</t>
  </si>
  <si>
    <t xml:space="preserve">      A2 Transformer Workshop</t>
  </si>
  <si>
    <t xml:space="preserve">      CIGRE Tutorials Seminar</t>
  </si>
  <si>
    <t xml:space="preserve">      Total A2 Transformer Workshop</t>
  </si>
  <si>
    <t xml:space="preserve">      CIDER</t>
  </si>
  <si>
    <t xml:space="preserve">      CIDER C6 - Sponsor and Exhibitor Income</t>
  </si>
  <si>
    <t xml:space="preserve">      CIDER C6 Registrations</t>
  </si>
  <si>
    <t xml:space="preserve">      Total CIDER</t>
  </si>
  <si>
    <t xml:space="preserve">      Paris Session</t>
  </si>
  <si>
    <t xml:space="preserve">      Paris Functions (215.02)</t>
  </si>
  <si>
    <t xml:space="preserve">      Session Registration (215.01)</t>
  </si>
  <si>
    <t xml:space="preserve">      Total Paris Session</t>
  </si>
  <si>
    <t xml:space="preserve">      SEAPAC</t>
  </si>
  <si>
    <t xml:space="preserve">      SEAPAC  - Registrations</t>
  </si>
  <si>
    <t xml:space="preserve">      SEAPAC Sponsor &amp; Exhibitor Income</t>
  </si>
  <si>
    <t xml:space="preserve">      Total SEAPAC</t>
  </si>
  <si>
    <t xml:space="preserve">      Workshops and Seminars - Other</t>
  </si>
  <si>
    <t xml:space="preserve">      Seminars &amp; Workshops</t>
  </si>
  <si>
    <t xml:space="preserve">      Total Workshops and Seminars - Other</t>
  </si>
  <si>
    <t xml:space="preserve">   Total Workshops Seminars and Conferences</t>
  </si>
  <si>
    <t>Total Income</t>
  </si>
  <si>
    <t>Gross Profit</t>
  </si>
  <si>
    <t>Less Operating Expenses</t>
  </si>
  <si>
    <t xml:space="preserve">   Board &amp; AGM expense</t>
  </si>
  <si>
    <t xml:space="preserve">   AGM 2017 Costs</t>
  </si>
  <si>
    <t xml:space="preserve">   Board &amp; A G Meetings</t>
  </si>
  <si>
    <t xml:space="preserve">      Marketing &amp; Branding</t>
  </si>
  <si>
    <t xml:space="preserve">      Marketing &amp; Branding </t>
  </si>
  <si>
    <t xml:space="preserve">      Total Marketing &amp; Branding</t>
  </si>
  <si>
    <t xml:space="preserve">   Total Board &amp; AGM expense</t>
  </si>
  <si>
    <t xml:space="preserve">   Finance and Regulatory Expenses</t>
  </si>
  <si>
    <t xml:space="preserve">   Accounting Expenses</t>
  </si>
  <si>
    <t xml:space="preserve">   ASIC Fees</t>
  </si>
  <si>
    <t xml:space="preserve">   Audit Expenses</t>
  </si>
  <si>
    <t xml:space="preserve">   Bad Debts</t>
  </si>
  <si>
    <t xml:space="preserve">   Bank, Cards &amp; Government Charges</t>
  </si>
  <si>
    <t xml:space="preserve">   Comprehensive Income</t>
  </si>
  <si>
    <t xml:space="preserve">   Depreciation</t>
  </si>
  <si>
    <t xml:space="preserve">   Income Tax Expense</t>
  </si>
  <si>
    <t xml:space="preserve">   Insurances</t>
  </si>
  <si>
    <t xml:space="preserve">   Interest Expense</t>
  </si>
  <si>
    <t xml:space="preserve">   Total Finance and Regulatory Expenses</t>
  </si>
  <si>
    <t xml:space="preserve">   Occupancy Admin and Employment Expense</t>
  </si>
  <si>
    <t xml:space="preserve">   Administration Expenses</t>
  </si>
  <si>
    <t xml:space="preserve">   Annual Leave Expense</t>
  </si>
  <si>
    <t xml:space="preserve">   Employment Expenses</t>
  </si>
  <si>
    <t xml:space="preserve">   Long Service Leave Expense</t>
  </si>
  <si>
    <t xml:space="preserve">   Occupancy Expenses</t>
  </si>
  <si>
    <t xml:space="preserve">   Office Expenses</t>
  </si>
  <si>
    <t xml:space="preserve">   Postage</t>
  </si>
  <si>
    <t xml:space="preserve">   Secretariat Expenses</t>
  </si>
  <si>
    <t xml:space="preserve">   Superannuation Expense</t>
  </si>
  <si>
    <t xml:space="preserve">   Telephone</t>
  </si>
  <si>
    <t xml:space="preserve">   Wages &amp; Salaries</t>
  </si>
  <si>
    <t xml:space="preserve">   Total Occupancy Admin and Employment Expense</t>
  </si>
  <si>
    <t xml:space="preserve">   Paris Member Fees</t>
  </si>
  <si>
    <t xml:space="preserve">   Paris Fees - Collective - (1)</t>
  </si>
  <si>
    <t xml:space="preserve">   Paris Fees - Collective - (2)</t>
  </si>
  <si>
    <t xml:space="preserve">   Total Paris Member Fees</t>
  </si>
  <si>
    <t xml:space="preserve">   Technical Support Activities</t>
  </si>
  <si>
    <t xml:space="preserve">   NGN Expenses</t>
  </si>
  <si>
    <t xml:space="preserve">   Panel Expenses</t>
  </si>
  <si>
    <t xml:space="preserve">   Scholarship Payments</t>
  </si>
  <si>
    <t xml:space="preserve">   Sponsorship </t>
  </si>
  <si>
    <t xml:space="preserve">   Website &amp; Internet</t>
  </si>
  <si>
    <t xml:space="preserve">   WG/TF Attendance</t>
  </si>
  <si>
    <t xml:space="preserve">   Total Technical Support Activities</t>
  </si>
  <si>
    <t xml:space="preserve">   Workshop Seminars and Conferences</t>
  </si>
  <si>
    <t xml:space="preserve">   Seminar &amp; Workshop Exp</t>
  </si>
  <si>
    <t xml:space="preserve">   Seminar &amp; Workshop Expenses</t>
  </si>
  <si>
    <t xml:space="preserve">      CIDER expenses</t>
  </si>
  <si>
    <t xml:space="preserve">      Total CIDER expenses</t>
  </si>
  <si>
    <t xml:space="preserve">      Paris Session Expenses</t>
  </si>
  <si>
    <t xml:space="preserve">      Paris - Session Registration </t>
  </si>
  <si>
    <t xml:space="preserve">      Paris Expenses</t>
  </si>
  <si>
    <t xml:space="preserve">      Paris Functions Expenses</t>
  </si>
  <si>
    <t xml:space="preserve">      Total Paris Session Expenses</t>
  </si>
  <si>
    <t xml:space="preserve">      SEAPAC exp</t>
  </si>
  <si>
    <t xml:space="preserve">      Total SEAPAC exp</t>
  </si>
  <si>
    <t xml:space="preserve">      Transformer Workshop</t>
  </si>
  <si>
    <t xml:space="preserve">      CIGRE Workshop - Transformer A2</t>
  </si>
  <si>
    <t xml:space="preserve">      Total Transformer Workshop</t>
  </si>
  <si>
    <t xml:space="preserve">   Total Workshop Seminars and Conferences</t>
  </si>
  <si>
    <t>Total Operating Expenses</t>
  </si>
  <si>
    <t>Non-operating Expenses</t>
  </si>
  <si>
    <t>Correction of unearned revenue adjustment</t>
  </si>
  <si>
    <t>Total Non-operating Expenses</t>
  </si>
  <si>
    <t>Net Profit</t>
  </si>
  <si>
    <t>Budget</t>
  </si>
  <si>
    <t>Forecast</t>
  </si>
  <si>
    <t>members</t>
  </si>
  <si>
    <t>Coll 1</t>
  </si>
  <si>
    <t>Coll 1 T&amp;D</t>
  </si>
  <si>
    <t>Coll 2</t>
  </si>
  <si>
    <t>Indiv 1</t>
  </si>
  <si>
    <t>Indiv 2</t>
  </si>
  <si>
    <t>5% increase</t>
  </si>
  <si>
    <t>Paris</t>
  </si>
  <si>
    <t>Aust</t>
  </si>
  <si>
    <t>2018 inc gst</t>
  </si>
  <si>
    <t>rounded</t>
  </si>
  <si>
    <t>panel</t>
  </si>
  <si>
    <t>actual new fees</t>
  </si>
  <si>
    <t>ex GST</t>
  </si>
  <si>
    <t>aust revenue</t>
  </si>
  <si>
    <t>paris</t>
  </si>
  <si>
    <t>2017/18</t>
  </si>
  <si>
    <t>2018/19</t>
  </si>
  <si>
    <t>panel ratio</t>
  </si>
  <si>
    <t xml:space="preserve">      CIDER C6  - Expenses</t>
  </si>
  <si>
    <t>2.5% on $1.8 mill</t>
  </si>
  <si>
    <t>fees calc on half this cal yr and half new rates for 18/19 then full new rate</t>
  </si>
  <si>
    <t>paris fees will be the same next yr. paris increase for 2021</t>
  </si>
  <si>
    <t>Individual 1</t>
  </si>
  <si>
    <t>Individual II</t>
  </si>
  <si>
    <t>Collective 1 - T&amp;D</t>
  </si>
  <si>
    <t xml:space="preserve">Collective 1 </t>
  </si>
  <si>
    <t>Collective II</t>
  </si>
  <si>
    <t>exchange</t>
  </si>
  <si>
    <t>we charge</t>
  </si>
  <si>
    <t>Margin</t>
  </si>
  <si>
    <t xml:space="preserve">   Paris Fees - Individuals (1)</t>
  </si>
  <si>
    <t xml:space="preserve">   Paris Fees - Individuals(2)</t>
  </si>
  <si>
    <t>10% less than collect</t>
  </si>
  <si>
    <t>Item</t>
  </si>
  <si>
    <t>Operating Surplus/ Deficit</t>
  </si>
  <si>
    <t>Interest Income</t>
  </si>
  <si>
    <t>Member Fees</t>
  </si>
  <si>
    <t>Panel fees</t>
  </si>
  <si>
    <t>Paris Fees</t>
  </si>
  <si>
    <t>Other Income</t>
  </si>
  <si>
    <t>Workshops and Seminars</t>
  </si>
  <si>
    <t>Board and AGM</t>
  </si>
  <si>
    <t>Marketing and Branding</t>
  </si>
  <si>
    <t>Finance and Regulatory expense</t>
  </si>
  <si>
    <t>Occupancy Admin Employment Exp</t>
  </si>
  <si>
    <t>Paris Member Fees</t>
  </si>
  <si>
    <t>Technical Support Activities</t>
  </si>
  <si>
    <t>Monthly webhosting and IT support</t>
  </si>
  <si>
    <t>Workshops seminars are the expenses related to income item 5.0</t>
  </si>
  <si>
    <t>B1 B3</t>
  </si>
  <si>
    <t>5% increase on total</t>
  </si>
  <si>
    <t xml:space="preserve">Paris fees only increase following Paris Session year </t>
  </si>
  <si>
    <t>Some increase in cost and more members ?</t>
  </si>
  <si>
    <t>Assume some small increase in price or attendance</t>
  </si>
  <si>
    <t xml:space="preserve">Assume similar sponsor result </t>
  </si>
  <si>
    <t>Assume slight increase in attendance</t>
  </si>
  <si>
    <t>B4/C4 in 2018; B3 in 2020 ($900x 135 delegates)</t>
  </si>
  <si>
    <t>2% increase in AGM costs</t>
  </si>
  <si>
    <t>2% increase in board costs, depending on board travel and locations</t>
  </si>
  <si>
    <t>Will need to spend some to bring Web page into line with Paris</t>
  </si>
  <si>
    <t>Increase at 2% pa</t>
  </si>
  <si>
    <t>Increase at 5%</t>
  </si>
  <si>
    <t>Increase as run more events and gain members- 5% increase</t>
  </si>
  <si>
    <t>diminishing 2%</t>
  </si>
  <si>
    <t>increase 5%pa</t>
  </si>
  <si>
    <t>Increase 2%pa</t>
  </si>
  <si>
    <t>Increase 3% pa, to cover part time staff and any salary increase</t>
  </si>
  <si>
    <t>increase in line with member fee increases less currency risk premium</t>
  </si>
  <si>
    <t>internal panel support to Aust.</t>
  </si>
  <si>
    <t>2% pa increase</t>
  </si>
  <si>
    <t>$5000 per person per trip = 25trips in non paris yr</t>
  </si>
  <si>
    <t xml:space="preserve">      Panel  Seminars - 2017 Registrations</t>
  </si>
  <si>
    <t xml:space="preserve">   Panel  Seminars - 2017 Registrations</t>
  </si>
  <si>
    <t>Costs higher than 2017 assume further 5% increase</t>
  </si>
  <si>
    <t>5% increase on previos yrs</t>
  </si>
  <si>
    <t xml:space="preserve">B3 estimate at this stage - still defining the event </t>
  </si>
  <si>
    <t>2.5% to 2% on invested funds of $1,800,000</t>
  </si>
  <si>
    <t>similar revenue  to 2018 -CIGRE subsided the dinner cost</t>
  </si>
  <si>
    <t>5% increase in rego costs</t>
  </si>
  <si>
    <t>Paris Dinner</t>
  </si>
  <si>
    <t>cost of room, advertising, brochures etc</t>
  </si>
  <si>
    <t>2% increase may need to upgrade platform/revamp the look?</t>
  </si>
  <si>
    <t>2% increase on 2019 actual registrations</t>
  </si>
  <si>
    <t>2 % increase on 2019 sponsor revenue</t>
  </si>
  <si>
    <t>Has fallen compared to previous years due to restructure of office and company secretary roles.  Occupancy is generally increased by 5% p.a.</t>
  </si>
  <si>
    <t>Net Surplus / Deficit</t>
  </si>
  <si>
    <t xml:space="preserve">   AGM  Costs</t>
  </si>
  <si>
    <t>B3 estimate at this stage - still defining the event  C4 is indicative</t>
  </si>
  <si>
    <t>revised actual 2019 numbers plus 2%</t>
  </si>
  <si>
    <t xml:space="preserve">Forecast </t>
  </si>
  <si>
    <t>Revised</t>
  </si>
  <si>
    <t xml:space="preserve">   Board &amp; AGM mkt and branding expense</t>
  </si>
  <si>
    <t>Events and API</t>
  </si>
  <si>
    <t>Original Budget</t>
  </si>
  <si>
    <t>No Change to Paris</t>
  </si>
  <si>
    <t>Paris goes to August 2021</t>
  </si>
  <si>
    <t>Swap Paris years income and expense</t>
  </si>
  <si>
    <t>Paris goes to 2021 and No SEAPAC in March 2021</t>
  </si>
  <si>
    <t>CIGRE Australia - likely financial outcomes</t>
  </si>
  <si>
    <t>Revised Projections</t>
  </si>
  <si>
    <t>Revised Paris 2021</t>
  </si>
  <si>
    <t>Jun-20</t>
  </si>
  <si>
    <t>Jun-21</t>
  </si>
  <si>
    <t>Jun-22</t>
  </si>
  <si>
    <t>Jun-23</t>
  </si>
  <si>
    <t>Revised BASE</t>
  </si>
  <si>
    <t>Paris( Aug 20)</t>
  </si>
  <si>
    <t>Paris(Aug 22)</t>
  </si>
  <si>
    <t>2% increase</t>
  </si>
  <si>
    <t>5% in</t>
  </si>
  <si>
    <t>2% inc</t>
  </si>
  <si>
    <t>5% inc</t>
  </si>
  <si>
    <t>10 % inc reflctingincmemb and Events</t>
  </si>
  <si>
    <t>2% diminiinshing'</t>
  </si>
  <si>
    <t>3% inc</t>
  </si>
  <si>
    <t>Base Case pre CV-19</t>
  </si>
  <si>
    <t>BASE YTD Adjusted</t>
  </si>
  <si>
    <t>Hire of restaurant E8000 even drinks E2000</t>
  </si>
  <si>
    <t>2% increase sponsors</t>
  </si>
  <si>
    <t>2% increase rego</t>
  </si>
  <si>
    <t>increase2%</t>
  </si>
  <si>
    <t>26 tp paris 10 others @ $5000</t>
  </si>
  <si>
    <t>10% inc</t>
  </si>
  <si>
    <t>5% more</t>
  </si>
  <si>
    <t>net $22 000</t>
  </si>
  <si>
    <t xml:space="preserve">   Interest Income - Term Deposits &amp;FIIG</t>
  </si>
  <si>
    <t>2% on FIIG 500k 1% on bal 1.3 mill</t>
  </si>
  <si>
    <t xml:space="preserve">   AGM  Dinner Registrations</t>
  </si>
  <si>
    <t>$110 x 85people</t>
  </si>
  <si>
    <t xml:space="preserve">5% inc in rego </t>
  </si>
  <si>
    <t>room hire regos, admin support, brochures</t>
  </si>
  <si>
    <t xml:space="preserve">Jun22 </t>
  </si>
  <si>
    <t>2 % in 23</t>
  </si>
  <si>
    <t>move paris and75% of reimbursements in both yrs</t>
  </si>
  <si>
    <t>16 convenors, 1 x exec mgr, 1x ATC chair, 10 WG chairs, 2 board members = 30 *$5000 to Paris</t>
  </si>
  <si>
    <t>PS 21_22 NC</t>
  </si>
  <si>
    <t>PS 21_22 T75jan21</t>
  </si>
  <si>
    <t>PS NT jan 21</t>
  </si>
  <si>
    <t>PS T75 NoSPCID</t>
  </si>
  <si>
    <t>PS 21_22 NC mem 5 and 25</t>
  </si>
  <si>
    <t>PS 21_22 NC  Mem 5 and 50</t>
  </si>
  <si>
    <t>PS 21_22 NoSPCIS mem 5&amp; 25</t>
  </si>
  <si>
    <t>PS 21_22 NoSPCID memb 5 and 50</t>
  </si>
  <si>
    <t>Original Budget pre COVID-19</t>
  </si>
  <si>
    <t>Original Budget pre COVID-19 reflecting updates YTD</t>
  </si>
  <si>
    <t>Paris Session Moved to 2021 and 2022 NO Other changes - Revenue and expenditure associated with the Paris Session swaps years</t>
  </si>
  <si>
    <t>Paris Session Moved to 2021 and 2022
Revenue and expenditure associated with the Paris Session swaps years
Assume reimbursements/Travel 75% of normal</t>
  </si>
  <si>
    <t>Paris Session Moved to 2021 and 2022
Revenue and expenditure associated with the Paris Session swaps years
Assume NO reimbursements  Travel between Paris Sessions.</t>
  </si>
  <si>
    <t>A</t>
  </si>
  <si>
    <t>B</t>
  </si>
  <si>
    <t>C</t>
  </si>
  <si>
    <t>D</t>
  </si>
  <si>
    <t>E</t>
  </si>
  <si>
    <t>F</t>
  </si>
  <si>
    <t>G</t>
  </si>
  <si>
    <t>H</t>
  </si>
  <si>
    <t>I</t>
  </si>
  <si>
    <t>J</t>
  </si>
  <si>
    <t>CIGRE Australia - Budget forecasts Summary</t>
  </si>
  <si>
    <t>Paris session expenses moved from 2021 to 2022</t>
  </si>
  <si>
    <t>BASE</t>
  </si>
  <si>
    <t>Change from Base</t>
  </si>
  <si>
    <t>Option E</t>
  </si>
  <si>
    <t>Comment</t>
  </si>
  <si>
    <t>Reduced interest rates - $500k FIIG @2%, $1300k TD @ 1 %</t>
  </si>
  <si>
    <t>Increase in members, reflect current panel numbers with moderate increase 2%</t>
  </si>
  <si>
    <t>Paris session years swapped,  CIDER less income than budget in current yr</t>
  </si>
  <si>
    <t xml:space="preserve">Savings on travel reimbursements </t>
  </si>
  <si>
    <t>Current year less reimbursements, move Paris session to 2021</t>
  </si>
  <si>
    <t>Option B</t>
  </si>
  <si>
    <t>Option C</t>
  </si>
  <si>
    <t>Option D</t>
  </si>
  <si>
    <t>Option F</t>
  </si>
  <si>
    <t>Option G</t>
  </si>
  <si>
    <t>Option H</t>
  </si>
  <si>
    <t>Option I</t>
  </si>
  <si>
    <t>Option J</t>
  </si>
  <si>
    <t>BASE Assumptions</t>
  </si>
  <si>
    <t>Originally budgeted for Coy Sec.</t>
  </si>
  <si>
    <t>did not run the workshop</t>
  </si>
  <si>
    <t>Lower result from CIDER and No Transformer Workshop in current period - SEAPAC CIDER and B3 still assumed</t>
  </si>
  <si>
    <t>Paris Session goes to 2021</t>
  </si>
  <si>
    <t>Savings on travel reimbursements - 75% of normal from Jan 21</t>
  </si>
  <si>
    <t>Paris year to 2021</t>
  </si>
  <si>
    <t>Savings on travel reimbursements No Travel reimbursement between sessions but do support members to the session- approx 16 conv, 1 ed, 2 dir, 10 WG = 30 *$5000</t>
  </si>
  <si>
    <t>Paris to 2021</t>
  </si>
  <si>
    <t>NO SEAPAC or CIDER</t>
  </si>
  <si>
    <t>Savings on travel reimbursements , 75% travel from Jan 21</t>
  </si>
  <si>
    <t>20% drop in Panel members</t>
  </si>
  <si>
    <t>5% drop in base membership</t>
  </si>
  <si>
    <t>Reflect drop in base and panel members</t>
  </si>
  <si>
    <t>5% drop in base members</t>
  </si>
  <si>
    <t>50% drop in panel membership</t>
  </si>
  <si>
    <t>reflects the 5% member and 50% panel member drop</t>
  </si>
  <si>
    <t>5%   less base members</t>
  </si>
  <si>
    <t>Move of Paris to 2021</t>
  </si>
  <si>
    <t>drop in 5% member and 20% panel members</t>
  </si>
  <si>
    <t>No CIDER</t>
  </si>
  <si>
    <t>NO SEAPAC</t>
  </si>
  <si>
    <t>NO CIDER SEAPAC - Paris to 2021</t>
  </si>
  <si>
    <t>No SEAPAC CIDER Paris to 2021</t>
  </si>
  <si>
    <t>Reduction in base members of 5% , panels of 50%</t>
  </si>
  <si>
    <t>drop 5% base member fee</t>
  </si>
  <si>
    <t xml:space="preserve">Notes to Budget and Forecast estimates  - Base assumptions </t>
  </si>
  <si>
    <t xml:space="preserve">Assumed 5% increase in member income to 2023 unless stated  otherwise. </t>
  </si>
  <si>
    <t>Calculated 2020/21 on actual numbers and fees, then Assumed 2 % increase in revenue for forecast yrs</t>
  </si>
  <si>
    <t>CIDER conference expected to continue to grow - numbers based on expected attendances ( 85) and increase in sponsorship  except in scenarios where is no CIDER</t>
  </si>
  <si>
    <t>Reflects 10% less than is collected to account for currency exchange variations.  As $AUD continues to fall this expense will increase.  Is changed by appropriate % in lower member scenarios</t>
  </si>
  <si>
    <t>WG/TF Attendance covers all the international SC, WG which we support.  Typically higher in a Paris year as everybody goes to Paris whereas in non Paris year we are encouraging more telecommunications and less travel.  Adjusted as per the scenario parameters</t>
  </si>
  <si>
    <t>A general small increase in CIDER is anticipated resulting in greater revenues and costs other than  scenario when it does not run</t>
  </si>
  <si>
    <t>Paris session costs forecast to increase - assumed 5% by 2021</t>
  </si>
  <si>
    <t>SEAPAC - estimate based on known costs given expected attendance and known venue costs . Forecast 5% increase other than scenario when does not run</t>
  </si>
  <si>
    <t xml:space="preserve">Net position forecast for June 2020, potential outcome for 2021-2023 depending on scenario </t>
  </si>
  <si>
    <t>Option A</t>
  </si>
  <si>
    <t>interest rates - $1.8 Mill @2.5%</t>
  </si>
  <si>
    <t>5% increase via rate/numbers</t>
  </si>
  <si>
    <t>Similar result to previous years</t>
  </si>
  <si>
    <t>slight increase in delgates and sponsors</t>
  </si>
  <si>
    <t>coontinued increase in Paris attendance due to 100th yr celebrations</t>
  </si>
  <si>
    <t>slight increase but is probably near its optimum level</t>
  </si>
  <si>
    <t>similar expenditure - a little more on marketing may be required over period</t>
  </si>
  <si>
    <t>Occupancy increases 5% each year,  employment expected 2% pa</t>
  </si>
  <si>
    <t>similar to previous years - aiming to encourage more web meetings</t>
  </si>
  <si>
    <t>slight increase in expense with more attendance</t>
  </si>
  <si>
    <t>Minor increase with venue and CPI</t>
  </si>
  <si>
    <t>expect similar result each yr - surplus rising a little toward end of forecast window</t>
  </si>
  <si>
    <t>Expected budget and forecast range is relatively stable and within the board approved guidelines</t>
  </si>
  <si>
    <t>2% on FIIG $500,000 1% on $1 300 000</t>
  </si>
  <si>
    <t>Used the same member numbers as in 2.0 and multiplied by the revised Paris fee to get income per member class.   Assume 5% increase in Paris fee for year following the Paris session</t>
  </si>
  <si>
    <t>Not significant - covers income from AGM dinner registrations.  Last year included fees from ASPIRE for marketing assistance</t>
  </si>
  <si>
    <t>Transformer Workshop  not run in 2020 will run in 2021 2022</t>
  </si>
  <si>
    <t>Paris Session  - moved to 2021 and 2022 – no cost estimate for the Virtual 2020 session</t>
  </si>
  <si>
    <t xml:space="preserve">SEAPAC - estimate based on known costs.  Revenue based on delegate rates and gaining at least 125 delegates.  2015 = 125, </t>
  </si>
  <si>
    <t>2017 =145 2019 =139 ; Except where indicated no SEAPAC</t>
  </si>
  <si>
    <t>B3 event took place in 2020 but not planned for future years at this stage</t>
  </si>
  <si>
    <t>AGM costs are forecast to remain at similar levels depending on what level of support we continue to get from larger member companies. And Subsidy level of dinner/events</t>
  </si>
  <si>
    <t xml:space="preserve">Board and AGM meeting costs forecast to remain about the same level.  Will vary depending on the  level of board reimbursement to members </t>
  </si>
  <si>
    <t>Whilst the main marketing and branding work is complete, we will have to carry out at least some work to update the website with logos and some descriptions following the Paris CIGRE adoption of new branding images - probably over the next 2 yrs  $8000 in 2021 and $10,000 in 2022.</t>
  </si>
  <si>
    <t>Not a lot of discretion in this area.    Accounting and ASIC Fees expected to increase in line with inflation</t>
  </si>
  <si>
    <t>NGN has underspent over last 3 yrs, working to develop seminar program to provide greater exposure, have assumed $10000, $11000 and $12000 over the 2021 – 2023 period</t>
  </si>
  <si>
    <t>Panel expenses are for domestic costs.  Eg paying for  a venue for the panel meeting, some catering etc. usually not high as larger members provide free meeting facilities,  $3500 each year</t>
  </si>
  <si>
    <t>Scholarship is the biennial Paris scholarships which we offer. Budgeted $17,000 in the Paris year.</t>
  </si>
  <si>
    <t>Sponsorship  is the ASTE/ STELR  which we support bringing engineering education to high school students $10,000 per year</t>
  </si>
  <si>
    <t>Transformer Workshop not run in 2020, assumed will run in 2021 and 2022</t>
  </si>
  <si>
    <t>Difference to BASE Case</t>
  </si>
  <si>
    <t>Paris Session Moved to 2021 and 2022
Revenue and expenditure associated with the Paris Session swaps years
Assume reimbursements/Travel 75% of normal
NO SEAPAC or CIDER event Held</t>
  </si>
  <si>
    <t>Paris Session Moved to 2021 and 2022
Revenue and expenditure associated with the Paris Session swaps years
Assume drop of  5% in base membership from 2021
Assume drop of 20% in Panel membership from 2021</t>
  </si>
  <si>
    <t>Paris Session Moved to 2021 and 2022
Revenue and expenditure associated with the Paris Session is moved to that year
Assume drop of  5% in base membership from 2021
Assume drop of 50% in Panel membership from 2021</t>
  </si>
  <si>
    <t>Paris Session Moved to 2021 and 2022
Revenue and expenditure associated with the Paris Session moves to that year
Assume drop of  5% in base membership from 2021
Assume drop of 20% in Panel membership from 2021
No SEAPAC    No CIDER</t>
  </si>
  <si>
    <t>Paris Session Moved to 2021 and 2022
Revenue and expenditure associated with the Paris Session moves to that year
Assume drop of  5% in base membership from 2021
Assume drop of 50% in Panel membership from 2021
No SEAPAC    No CIDER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</si>
</sst>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4" formatCode="_-&quot;$&quot;* #,##0.00_-;\-&quot;$&quot;* #,##0.00_-;_-&quot;$&quot;* &quot;-&quot;??_-;_-@_-"/>
    <numFmt numFmtId="43" formatCode="_-* #,##0.00_-;\-* #,##0.00_-;_-* &quot;-&quot;??_-;_-@_-"/>
    <numFmt numFmtId="164" formatCode="[$$-809]#,##0.00;\-[$$-809]#,##0.00"/>
    <numFmt numFmtId="165" formatCode="0.0"/>
    <numFmt numFmtId="166" formatCode="[$$-380A]\ #,##0.00;\-[$$-380A]\ #,##0.00"/>
    <numFmt numFmtId="167" formatCode="[$$-809]#,##0;\-[$$-809]#,##0"/>
    <numFmt numFmtId="168" formatCode="[$$-380A]\ #,##0;[Red]\-[$$-380A]\ #,##0"/>
    <numFmt numFmtId="169" formatCode="[$$-540A]#,##0.00_ ;\-[$$-540A]#,##0.00\ "/>
    <numFmt numFmtId="170" formatCode="[$$-540A]#,##0_ ;[Red]\-[$$-540A]#,##0\ "/>
    <numFmt numFmtId="171" formatCode="[$$-540A]#,##0.00_ ;[Red]\-[$$-540A]#,##0.00\ "/>
    <numFmt numFmtId="172" formatCode="_-[$$-C09]* #,##0_-;\-[$$-C09]* #,##0_-;_-[$$-C09]* &quot;-&quot;??_-;_-@_-"/>
    <numFmt numFmtId="173" formatCode="_-[$$-409]* #,##0_ ;_-[$$-409]* \-#,##0\ ;_-[$$-409]* &quot;-&quot;??_ ;_-@_ "/>
    <numFmt numFmtId="174" formatCode="_-[$$-C09]* #,##0.00_-;\-[$$-C09]* #,##0.00_-;_-[$$-C09]* &quot;-&quot;??_-;_-@_-"/>
    <numFmt numFmtId="175" formatCode="_-* #,##0.0000_-;\-* #,##0.0000_-;_-* &quot;-&quot;??_-;_-@_-"/>
  </numFmts>
  <fonts count="22" x14ac:knownFonts="1">
    <font>
      <sz val="10"/>
      <name val="Arial"/>
      <family val="2"/>
    </font>
    <font>
      <sz val="10"/>
      <name val="Arial"/>
      <family val="2"/>
    </font>
    <font>
      <sz val="9"/>
      <name val="Arial"/>
      <family val="2"/>
    </font>
    <font>
      <i/>
      <sz val="9"/>
      <name val="Arial"/>
      <family val="2"/>
    </font>
    <font>
      <b/>
      <sz val="9"/>
      <name val="Arial"/>
      <family val="2"/>
    </font>
    <font>
      <b/>
      <sz val="10"/>
      <name val="Arial"/>
      <family val="2"/>
    </font>
    <font>
      <sz val="9"/>
      <color indexed="81"/>
      <name val="Tahoma"/>
      <family val="2"/>
    </font>
    <font>
      <b/>
      <sz val="9"/>
      <color indexed="81"/>
      <name val="Tahoma"/>
      <family val="2"/>
    </font>
    <font>
      <b/>
      <sz val="9"/>
      <color rgb="FFFF0000"/>
      <name val="Arial"/>
      <family val="2"/>
    </font>
    <font>
      <b/>
      <sz val="10"/>
      <color theme="8"/>
      <name val="Arial"/>
      <family val="2"/>
    </font>
    <font>
      <sz val="10"/>
      <color rgb="FFFF0000"/>
      <name val="Arial"/>
      <family val="2"/>
    </font>
    <font>
      <b/>
      <sz val="14"/>
      <name val="Arial"/>
      <family val="2"/>
    </font>
    <font>
      <b/>
      <sz val="18"/>
      <name val="Arial"/>
      <family val="2"/>
    </font>
    <font>
      <b/>
      <sz val="12"/>
      <name val="Arial"/>
      <family val="2"/>
    </font>
    <font>
      <sz val="11"/>
      <color rgb="FF000000"/>
      <name val="Calibri"/>
      <family val="2"/>
    </font>
    <font>
      <b/>
      <sz val="10"/>
      <color rgb="FFFF0000"/>
      <name val="Arial"/>
      <family val="2"/>
    </font>
    <font>
      <b/>
      <sz val="16"/>
      <name val="Arial"/>
      <family val="2"/>
    </font>
    <font>
      <b/>
      <i/>
      <sz val="16"/>
      <name val="Arial"/>
      <family val="2"/>
    </font>
    <font>
      <b/>
      <i/>
      <sz val="11"/>
      <color rgb="FF000000"/>
      <name val="Calibri"/>
      <family val="2"/>
    </font>
    <font>
      <b/>
      <i/>
      <sz val="10"/>
      <name val="Times New Roman"/>
      <family val="1"/>
    </font>
    <font>
      <sz val="10"/>
      <name val="Times New Roman"/>
      <family val="1"/>
    </font>
    <font>
      <b/>
      <i/>
      <sz val="10"/>
      <name val="Arial"/>
      <family val="2"/>
    </font>
  </fonts>
  <fills count="9">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0000"/>
        <bgColor indexed="64"/>
      </patternFill>
    </fill>
    <fill>
      <patternFill patternType="solid">
        <fgColor theme="2"/>
        <bgColor indexed="64"/>
      </patternFill>
    </fill>
  </fills>
  <borders count="36">
    <border>
      <left/>
      <right/>
      <top/>
      <bottom/>
      <diagonal/>
    </border>
    <border>
      <left/>
      <right/>
      <top/>
      <bottom style="thin">
        <color indexed="64"/>
      </bottom>
      <diagonal/>
    </border>
    <border>
      <left/>
      <right/>
      <top/>
      <bottom style="double">
        <color indexed="64"/>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top style="double">
        <color auto="1"/>
      </top>
      <bottom/>
      <diagonal/>
    </border>
    <border>
      <left style="double">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double">
        <color auto="1"/>
      </right>
      <top style="thin">
        <color auto="1"/>
      </top>
      <bottom style="thick">
        <color auto="1"/>
      </bottom>
      <diagonal/>
    </border>
    <border>
      <left/>
      <right style="thin">
        <color auto="1"/>
      </right>
      <top style="double">
        <color auto="1"/>
      </top>
      <bottom/>
      <diagonal/>
    </border>
    <border>
      <left style="double">
        <color auto="1"/>
      </left>
      <right/>
      <top/>
      <bottom style="thin">
        <color auto="1"/>
      </bottom>
      <diagonal/>
    </border>
    <border>
      <left/>
      <right style="thin">
        <color auto="1"/>
      </right>
      <top/>
      <bottom style="thin">
        <color auto="1"/>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double">
        <color auto="1"/>
      </right>
      <top/>
      <bottom/>
      <diagonal/>
    </border>
    <border>
      <left style="thin">
        <color auto="1"/>
      </left>
      <right/>
      <top style="thin">
        <color auto="1"/>
      </top>
      <bottom style="thick">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s>
  <cellStyleXfs count="4">
    <xf numFmtId="0" fontId="0" fillId="0" borderId="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3" fontId="1" fillId="0" borderId="0" applyFont="0" applyFill="0" applyBorder="0" applyAlignment="0" applyProtection="0"/>
  </cellStyleXfs>
  <cellXfs count="312">
    <xf numFmtId="0" fontId="0" fillId="0" borderId="0" xfId="0">
      <alignment vertical="center"/>
    </xf>
    <xf numFmtId="164" fontId="2"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top" wrapText="1"/>
    </xf>
    <xf numFmtId="164" fontId="4" fillId="0" borderId="0" xfId="0" applyNumberFormat="1" applyFont="1" applyFill="1" applyBorder="1" applyAlignment="1" applyProtection="1">
      <alignment vertical="center"/>
    </xf>
    <xf numFmtId="164" fontId="5" fillId="0" borderId="0" xfId="0" applyNumberFormat="1" applyFont="1" applyFill="1" applyBorder="1" applyAlignment="1" applyProtection="1">
      <alignment vertical="center"/>
    </xf>
    <xf numFmtId="0" fontId="4" fillId="0" borderId="1" xfId="0" applyNumberFormat="1" applyFont="1" applyFill="1" applyBorder="1" applyAlignment="1" applyProtection="1">
      <alignment vertical="center"/>
    </xf>
    <xf numFmtId="0" fontId="4" fillId="0" borderId="2" xfId="0" applyNumberFormat="1" applyFont="1" applyFill="1" applyBorder="1" applyAlignment="1" applyProtection="1">
      <alignment vertical="center"/>
    </xf>
    <xf numFmtId="164" fontId="4" fillId="0" borderId="1" xfId="0" applyNumberFormat="1" applyFont="1" applyFill="1" applyBorder="1" applyAlignment="1" applyProtection="1">
      <alignment vertical="center"/>
    </xf>
    <xf numFmtId="164" fontId="4" fillId="0" borderId="2" xfId="0" applyNumberFormat="1" applyFont="1" applyFill="1" applyBorder="1" applyAlignment="1" applyProtection="1">
      <alignment vertical="center"/>
    </xf>
    <xf numFmtId="164" fontId="5" fillId="0" borderId="0" xfId="0" applyNumberFormat="1" applyFont="1" applyFill="1" applyBorder="1" applyAlignment="1" applyProtection="1">
      <alignment horizontal="center" vertical="center"/>
    </xf>
    <xf numFmtId="17" fontId="0" fillId="0" borderId="0" xfId="0" applyNumberFormat="1" applyAlignment="1">
      <alignment horizontal="center" vertical="center"/>
    </xf>
    <xf numFmtId="10" fontId="0" fillId="0" borderId="0" xfId="2" applyNumberFormat="1" applyFont="1">
      <alignment vertical="center"/>
    </xf>
    <xf numFmtId="1" fontId="0" fillId="0" borderId="0" xfId="0" applyNumberFormat="1">
      <alignment vertical="center"/>
    </xf>
    <xf numFmtId="1" fontId="0" fillId="2" borderId="0" xfId="0" applyNumberFormat="1" applyFill="1">
      <alignment vertical="center"/>
    </xf>
    <xf numFmtId="166" fontId="0" fillId="0" borderId="0" xfId="0" applyNumberFormat="1">
      <alignment vertical="center"/>
    </xf>
    <xf numFmtId="164" fontId="0" fillId="0" borderId="0" xfId="0" applyNumberFormat="1">
      <alignment vertical="center"/>
    </xf>
    <xf numFmtId="167" fontId="4" fillId="0" borderId="2" xfId="0" applyNumberFormat="1" applyFont="1" applyFill="1" applyBorder="1" applyAlignment="1" applyProtection="1">
      <alignment vertical="center"/>
    </xf>
    <xf numFmtId="167" fontId="0" fillId="0" borderId="0" xfId="0" applyNumberFormat="1">
      <alignment vertical="center"/>
    </xf>
    <xf numFmtId="167" fontId="2" fillId="0" borderId="0" xfId="0" applyNumberFormat="1" applyFont="1" applyFill="1" applyBorder="1" applyAlignment="1" applyProtection="1">
      <alignment vertical="center"/>
    </xf>
    <xf numFmtId="167" fontId="3" fillId="0" borderId="0" xfId="0" applyNumberFormat="1" applyFont="1" applyFill="1" applyBorder="1" applyAlignment="1" applyProtection="1">
      <alignment vertical="top" wrapText="1"/>
    </xf>
    <xf numFmtId="167" fontId="4" fillId="0" borderId="1" xfId="0" applyNumberFormat="1" applyFont="1" applyFill="1" applyBorder="1" applyAlignment="1" applyProtection="1">
      <alignment vertical="center"/>
    </xf>
    <xf numFmtId="168" fontId="4" fillId="0" borderId="2" xfId="0" applyNumberFormat="1" applyFont="1" applyFill="1" applyBorder="1" applyAlignment="1" applyProtection="1">
      <alignment vertical="center"/>
    </xf>
    <xf numFmtId="167" fontId="4" fillId="0" borderId="0" xfId="0" applyNumberFormat="1" applyFont="1" applyFill="1" applyBorder="1" applyAlignment="1" applyProtection="1">
      <alignment vertical="center"/>
    </xf>
    <xf numFmtId="167" fontId="0" fillId="0" borderId="0" xfId="0" quotePrefix="1" applyNumberFormat="1">
      <alignment vertical="center"/>
    </xf>
    <xf numFmtId="164" fontId="8" fillId="0" borderId="0" xfId="0" applyNumberFormat="1" applyFont="1" applyFill="1" applyBorder="1" applyAlignment="1" applyProtection="1">
      <alignment vertical="center"/>
    </xf>
    <xf numFmtId="167" fontId="8" fillId="0" borderId="0" xfId="0" applyNumberFormat="1" applyFont="1" applyFill="1" applyBorder="1" applyAlignment="1" applyProtection="1">
      <alignment vertical="center"/>
    </xf>
    <xf numFmtId="0" fontId="0" fillId="0" borderId="0" xfId="0" applyAlignment="1"/>
    <xf numFmtId="9" fontId="0" fillId="0" borderId="0" xfId="2" applyFont="1" applyAlignment="1"/>
    <xf numFmtId="2" fontId="0" fillId="0" borderId="0" xfId="0" applyNumberFormat="1" applyAlignment="1"/>
    <xf numFmtId="44" fontId="0" fillId="0" borderId="0" xfId="1" applyFont="1" applyAlignment="1"/>
    <xf numFmtId="0" fontId="9" fillId="0" borderId="0" xfId="0" applyFont="1">
      <alignment vertical="center"/>
    </xf>
    <xf numFmtId="0" fontId="0" fillId="3" borderId="0" xfId="0" applyFill="1">
      <alignment vertical="center"/>
    </xf>
    <xf numFmtId="170" fontId="2" fillId="0" borderId="0" xfId="0" applyNumberFormat="1" applyFont="1" applyFill="1" applyBorder="1" applyAlignment="1" applyProtection="1">
      <alignment vertical="center"/>
    </xf>
    <xf numFmtId="164" fontId="4" fillId="3" borderId="1" xfId="0" applyNumberFormat="1" applyFont="1" applyFill="1" applyBorder="1" applyAlignment="1" applyProtection="1">
      <alignment vertical="center"/>
    </xf>
    <xf numFmtId="0" fontId="0" fillId="4" borderId="0" xfId="0" applyFill="1">
      <alignment vertical="center"/>
    </xf>
    <xf numFmtId="170" fontId="2" fillId="4" borderId="0" xfId="0" applyNumberFormat="1" applyFont="1" applyFill="1" applyBorder="1" applyAlignment="1" applyProtection="1">
      <alignment vertical="center"/>
    </xf>
    <xf numFmtId="167" fontId="4" fillId="4" borderId="1" xfId="0" applyNumberFormat="1" applyFont="1" applyFill="1" applyBorder="1" applyAlignment="1" applyProtection="1">
      <alignment vertical="center"/>
    </xf>
    <xf numFmtId="167" fontId="0" fillId="4" borderId="0" xfId="0" applyNumberFormat="1" applyFill="1">
      <alignment vertical="center"/>
    </xf>
    <xf numFmtId="167" fontId="4" fillId="4" borderId="2" xfId="0" applyNumberFormat="1" applyFont="1" applyFill="1" applyBorder="1" applyAlignment="1" applyProtection="1">
      <alignment vertical="center"/>
    </xf>
    <xf numFmtId="164" fontId="4" fillId="4" borderId="2" xfId="0" applyNumberFormat="1" applyFont="1" applyFill="1" applyBorder="1" applyAlignment="1" applyProtection="1">
      <alignment vertical="center"/>
    </xf>
    <xf numFmtId="164" fontId="2" fillId="4" borderId="0" xfId="0" applyNumberFormat="1" applyFont="1" applyFill="1" applyBorder="1" applyAlignment="1" applyProtection="1">
      <alignment vertical="center"/>
    </xf>
    <xf numFmtId="164" fontId="4" fillId="4" borderId="1" xfId="0" applyNumberFormat="1" applyFont="1" applyFill="1" applyBorder="1" applyAlignment="1" applyProtection="1">
      <alignment vertical="center"/>
    </xf>
    <xf numFmtId="167" fontId="2" fillId="4" borderId="0" xfId="0" applyNumberFormat="1" applyFont="1" applyFill="1" applyBorder="1" applyAlignment="1" applyProtection="1">
      <alignment vertical="center"/>
    </xf>
    <xf numFmtId="168" fontId="4" fillId="4" borderId="2" xfId="0" applyNumberFormat="1" applyFont="1" applyFill="1" applyBorder="1" applyAlignment="1" applyProtection="1">
      <alignment vertical="center"/>
    </xf>
    <xf numFmtId="164" fontId="5" fillId="4" borderId="0" xfId="0" applyNumberFormat="1" applyFont="1" applyFill="1" applyBorder="1" applyAlignment="1" applyProtection="1">
      <alignment horizontal="center" vertical="center"/>
    </xf>
    <xf numFmtId="169" fontId="9" fillId="4" borderId="0" xfId="0" applyNumberFormat="1" applyFont="1" applyFill="1">
      <alignment vertical="center"/>
    </xf>
    <xf numFmtId="17" fontId="5" fillId="4" borderId="0" xfId="0" applyNumberFormat="1" applyFont="1" applyFill="1" applyAlignment="1">
      <alignment horizontal="center" vertical="center"/>
    </xf>
    <xf numFmtId="17" fontId="5" fillId="0" borderId="0" xfId="0" applyNumberFormat="1" applyFont="1" applyAlignment="1">
      <alignment horizontal="center" vertical="center"/>
    </xf>
    <xf numFmtId="170" fontId="2" fillId="0" borderId="1" xfId="0" applyNumberFormat="1" applyFont="1" applyFill="1" applyBorder="1" applyAlignment="1" applyProtection="1">
      <alignment vertical="center"/>
    </xf>
    <xf numFmtId="170" fontId="2" fillId="4" borderId="1" xfId="0" applyNumberFormat="1" applyFont="1" applyFill="1" applyBorder="1" applyAlignment="1" applyProtection="1">
      <alignment vertical="center"/>
    </xf>
    <xf numFmtId="170" fontId="4" fillId="0" borderId="2" xfId="0" applyNumberFormat="1" applyFont="1" applyFill="1" applyBorder="1" applyAlignment="1" applyProtection="1">
      <alignment vertical="center"/>
    </xf>
    <xf numFmtId="170" fontId="4" fillId="4" borderId="2" xfId="0" applyNumberFormat="1" applyFont="1" applyFill="1" applyBorder="1" applyAlignment="1" applyProtection="1">
      <alignment vertical="center"/>
    </xf>
    <xf numFmtId="0" fontId="0" fillId="0" borderId="0" xfId="0" applyAlignment="1">
      <alignment vertical="center"/>
    </xf>
    <xf numFmtId="165" fontId="0" fillId="0" borderId="0" xfId="0" applyNumberFormat="1">
      <alignment vertical="center"/>
    </xf>
    <xf numFmtId="165" fontId="0" fillId="0" borderId="0" xfId="0" applyNumberFormat="1" applyAlignment="1"/>
    <xf numFmtId="165"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167" fontId="4" fillId="4" borderId="0" xfId="0" applyNumberFormat="1" applyFont="1" applyFill="1" applyBorder="1" applyAlignment="1" applyProtection="1">
      <alignment vertical="center"/>
    </xf>
    <xf numFmtId="170" fontId="4" fillId="4" borderId="0" xfId="0" applyNumberFormat="1" applyFont="1" applyFill="1" applyBorder="1" applyAlignment="1" applyProtection="1">
      <alignment vertical="center"/>
    </xf>
    <xf numFmtId="168" fontId="4" fillId="4" borderId="0" xfId="0" applyNumberFormat="1" applyFont="1" applyFill="1" applyBorder="1" applyAlignment="1" applyProtection="1">
      <alignment vertical="center"/>
    </xf>
    <xf numFmtId="169" fontId="3" fillId="0" borderId="0" xfId="0" applyNumberFormat="1" applyFont="1" applyFill="1" applyBorder="1" applyAlignment="1" applyProtection="1">
      <alignment vertical="top" wrapText="1"/>
    </xf>
    <xf numFmtId="164" fontId="3" fillId="0" borderId="0" xfId="0" applyNumberFormat="1" applyFont="1" applyFill="1" applyBorder="1" applyAlignment="1" applyProtection="1">
      <alignment vertical="top" wrapText="1"/>
    </xf>
    <xf numFmtId="170" fontId="2" fillId="5" borderId="0" xfId="0" applyNumberFormat="1" applyFont="1" applyFill="1" applyBorder="1" applyAlignment="1" applyProtection="1">
      <alignment vertical="center"/>
    </xf>
    <xf numFmtId="170" fontId="2" fillId="6" borderId="0" xfId="0" applyNumberFormat="1" applyFont="1" applyFill="1" applyBorder="1" applyAlignment="1" applyProtection="1">
      <alignment vertical="center"/>
    </xf>
    <xf numFmtId="164" fontId="2" fillId="5" borderId="0" xfId="0" applyNumberFormat="1" applyFont="1" applyFill="1" applyBorder="1" applyAlignment="1" applyProtection="1">
      <alignment vertical="center"/>
    </xf>
    <xf numFmtId="167" fontId="4" fillId="5" borderId="2" xfId="0" applyNumberFormat="1" applyFont="1" applyFill="1" applyBorder="1" applyAlignment="1" applyProtection="1">
      <alignment vertical="center"/>
    </xf>
    <xf numFmtId="164" fontId="4" fillId="4" borderId="0" xfId="0" applyNumberFormat="1" applyFont="1" applyFill="1" applyBorder="1" applyAlignment="1" applyProtection="1">
      <alignment vertical="center"/>
    </xf>
    <xf numFmtId="0" fontId="0" fillId="0" borderId="0" xfId="0" applyFill="1" applyAlignment="1">
      <alignment vertical="center"/>
    </xf>
    <xf numFmtId="0" fontId="0" fillId="0" borderId="0" xfId="0" applyFill="1">
      <alignment vertical="center"/>
    </xf>
    <xf numFmtId="17" fontId="5" fillId="0" borderId="0" xfId="0" applyNumberFormat="1" applyFont="1" applyFill="1" applyAlignment="1">
      <alignment horizontal="center" vertical="center"/>
    </xf>
    <xf numFmtId="167" fontId="0" fillId="0" borderId="0" xfId="0" applyNumberFormat="1" applyFill="1">
      <alignment vertical="center"/>
    </xf>
    <xf numFmtId="169" fontId="9" fillId="0" borderId="0" xfId="0" applyNumberFormat="1" applyFont="1" applyFill="1">
      <alignment vertical="center"/>
    </xf>
    <xf numFmtId="171" fontId="2" fillId="4" borderId="0" xfId="0" applyNumberFormat="1" applyFont="1" applyFill="1" applyBorder="1" applyAlignment="1" applyProtection="1">
      <alignment vertical="center"/>
    </xf>
    <xf numFmtId="0" fontId="5" fillId="4" borderId="0" xfId="0" applyFont="1" applyFill="1" applyAlignment="1">
      <alignment horizontal="center" vertical="center"/>
    </xf>
    <xf numFmtId="170" fontId="2" fillId="5" borderId="0" xfId="0" applyNumberFormat="1" applyFont="1" applyFill="1" applyBorder="1" applyAlignment="1" applyProtection="1">
      <alignment vertical="top"/>
    </xf>
    <xf numFmtId="0" fontId="0" fillId="3" borderId="0" xfId="0" applyFill="1" applyAlignment="1">
      <alignment vertical="center"/>
    </xf>
    <xf numFmtId="0" fontId="5" fillId="3" borderId="0" xfId="0" applyFont="1" applyFill="1" applyAlignment="1">
      <alignment horizontal="center" vertical="center"/>
    </xf>
    <xf numFmtId="17" fontId="5" fillId="3" borderId="0" xfId="0" applyNumberFormat="1" applyFont="1" applyFill="1" applyAlignment="1">
      <alignment horizontal="center" vertical="center"/>
    </xf>
    <xf numFmtId="164" fontId="5" fillId="3" borderId="0" xfId="0" applyNumberFormat="1" applyFont="1" applyFill="1" applyBorder="1" applyAlignment="1" applyProtection="1">
      <alignment horizontal="center" vertical="center"/>
    </xf>
    <xf numFmtId="170" fontId="2" fillId="3" borderId="0" xfId="0" applyNumberFormat="1" applyFont="1" applyFill="1" applyBorder="1" applyAlignment="1" applyProtection="1">
      <alignment vertical="center"/>
    </xf>
    <xf numFmtId="170" fontId="2" fillId="3" borderId="1" xfId="0" applyNumberFormat="1" applyFont="1" applyFill="1" applyBorder="1" applyAlignment="1" applyProtection="1">
      <alignment vertical="center"/>
    </xf>
    <xf numFmtId="170" fontId="4" fillId="3" borderId="2" xfId="0" applyNumberFormat="1" applyFont="1" applyFill="1" applyBorder="1" applyAlignment="1" applyProtection="1">
      <alignment vertical="center"/>
    </xf>
    <xf numFmtId="167" fontId="4" fillId="3" borderId="1" xfId="0" applyNumberFormat="1" applyFont="1" applyFill="1" applyBorder="1" applyAlignment="1" applyProtection="1">
      <alignment vertical="center"/>
    </xf>
    <xf numFmtId="167" fontId="0" fillId="3" borderId="0" xfId="0" applyNumberFormat="1" applyFill="1">
      <alignment vertical="center"/>
    </xf>
    <xf numFmtId="167" fontId="4" fillId="3" borderId="2" xfId="0" applyNumberFormat="1" applyFont="1" applyFill="1" applyBorder="1" applyAlignment="1" applyProtection="1">
      <alignment vertical="center"/>
    </xf>
    <xf numFmtId="170" fontId="4" fillId="0" borderId="0" xfId="0" applyNumberFormat="1" applyFont="1" applyFill="1" applyBorder="1" applyAlignment="1" applyProtection="1">
      <alignment vertical="center"/>
    </xf>
    <xf numFmtId="165" fontId="0" fillId="3" borderId="0" xfId="0" applyNumberFormat="1" applyFill="1">
      <alignment vertical="center"/>
    </xf>
    <xf numFmtId="0" fontId="0" fillId="3" borderId="0" xfId="0" applyFill="1" applyAlignment="1"/>
    <xf numFmtId="165" fontId="0" fillId="3" borderId="0" xfId="0" applyNumberFormat="1" applyFill="1" applyAlignment="1"/>
    <xf numFmtId="165" fontId="0" fillId="3" borderId="0" xfId="0" applyNumberFormat="1" applyFill="1" applyAlignment="1">
      <alignment vertical="top"/>
    </xf>
    <xf numFmtId="0" fontId="0" fillId="3" borderId="0" xfId="0" applyFill="1" applyAlignment="1">
      <alignment vertical="top"/>
    </xf>
    <xf numFmtId="0" fontId="0" fillId="3" borderId="0" xfId="0" applyFill="1" applyAlignment="1">
      <alignment vertical="top" wrapText="1"/>
    </xf>
    <xf numFmtId="0" fontId="0" fillId="3" borderId="0" xfId="0" applyFill="1" applyAlignment="1">
      <alignment wrapText="1"/>
    </xf>
    <xf numFmtId="165" fontId="0" fillId="3" borderId="0" xfId="0" applyNumberFormat="1" applyFill="1" applyAlignment="1">
      <alignment vertical="center"/>
    </xf>
    <xf numFmtId="167" fontId="8" fillId="7" borderId="1" xfId="0" applyNumberFormat="1" applyFont="1" applyFill="1" applyBorder="1" applyAlignment="1" applyProtection="1">
      <alignment vertical="center"/>
    </xf>
    <xf numFmtId="170" fontId="2" fillId="7" borderId="0" xfId="0" applyNumberFormat="1" applyFont="1" applyFill="1" applyBorder="1" applyAlignment="1" applyProtection="1">
      <alignment vertical="center"/>
    </xf>
    <xf numFmtId="167" fontId="0" fillId="7" borderId="0" xfId="0" applyNumberFormat="1" applyFill="1">
      <alignment vertical="center"/>
    </xf>
    <xf numFmtId="0" fontId="4" fillId="0" borderId="0" xfId="0" applyNumberFormat="1" applyFont="1" applyFill="1" applyBorder="1" applyAlignment="1" applyProtection="1">
      <alignment vertical="center"/>
    </xf>
    <xf numFmtId="167" fontId="4" fillId="3" borderId="0" xfId="0" applyNumberFormat="1" applyFont="1" applyFill="1" applyBorder="1" applyAlignment="1" applyProtection="1">
      <alignment vertical="center"/>
    </xf>
    <xf numFmtId="0" fontId="0" fillId="5" borderId="0" xfId="0" applyFill="1">
      <alignment vertical="center"/>
    </xf>
    <xf numFmtId="172" fontId="2" fillId="0" borderId="0" xfId="0" applyNumberFormat="1" applyFont="1" applyFill="1" applyBorder="1" applyAlignment="1" applyProtection="1">
      <alignment vertical="center"/>
    </xf>
    <xf numFmtId="172" fontId="2" fillId="4" borderId="1" xfId="0" applyNumberFormat="1" applyFont="1" applyFill="1" applyBorder="1" applyAlignment="1" applyProtection="1">
      <alignment vertical="center"/>
    </xf>
    <xf numFmtId="172" fontId="2" fillId="0" borderId="1" xfId="0" applyNumberFormat="1" applyFont="1" applyFill="1" applyBorder="1" applyAlignment="1" applyProtection="1">
      <alignment vertical="center"/>
    </xf>
    <xf numFmtId="172" fontId="2" fillId="5" borderId="0" xfId="0" applyNumberFormat="1" applyFont="1" applyFill="1" applyBorder="1" applyAlignment="1" applyProtection="1">
      <alignment vertical="center"/>
    </xf>
    <xf numFmtId="172" fontId="0" fillId="5" borderId="0" xfId="0" applyNumberFormat="1" applyFill="1">
      <alignment vertical="center"/>
    </xf>
    <xf numFmtId="172" fontId="0" fillId="0" borderId="0" xfId="0" applyNumberFormat="1">
      <alignment vertical="center"/>
    </xf>
    <xf numFmtId="172" fontId="0" fillId="4" borderId="0" xfId="0" applyNumberFormat="1" applyFill="1">
      <alignment vertical="center"/>
    </xf>
    <xf numFmtId="172" fontId="0" fillId="0" borderId="0" xfId="0" applyNumberFormat="1" applyFill="1">
      <alignment vertical="center"/>
    </xf>
    <xf numFmtId="172" fontId="2" fillId="4" borderId="0" xfId="0" applyNumberFormat="1" applyFont="1" applyFill="1" applyBorder="1" applyAlignment="1" applyProtection="1">
      <alignment vertical="center"/>
    </xf>
    <xf numFmtId="172" fontId="4" fillId="0" borderId="2" xfId="0" applyNumberFormat="1" applyFont="1" applyFill="1" applyBorder="1" applyAlignment="1" applyProtection="1">
      <alignment vertical="center"/>
    </xf>
    <xf numFmtId="172" fontId="4" fillId="0" borderId="1" xfId="0" applyNumberFormat="1" applyFont="1" applyFill="1" applyBorder="1" applyAlignment="1" applyProtection="1">
      <alignment vertical="center"/>
    </xf>
    <xf numFmtId="172" fontId="4" fillId="4" borderId="1" xfId="0" applyNumberFormat="1" applyFont="1" applyFill="1" applyBorder="1" applyAlignment="1" applyProtection="1">
      <alignment vertical="center"/>
    </xf>
    <xf numFmtId="172" fontId="4" fillId="5" borderId="0" xfId="0" applyNumberFormat="1" applyFont="1" applyFill="1" applyBorder="1" applyAlignment="1" applyProtection="1">
      <alignment vertical="center"/>
    </xf>
    <xf numFmtId="172" fontId="4" fillId="4" borderId="2" xfId="0" applyNumberFormat="1" applyFont="1" applyFill="1" applyBorder="1" applyAlignment="1" applyProtection="1">
      <alignment vertical="center"/>
    </xf>
    <xf numFmtId="172" fontId="4" fillId="4" borderId="0" xfId="0" applyNumberFormat="1" applyFont="1" applyFill="1" applyBorder="1" applyAlignment="1" applyProtection="1">
      <alignment vertical="center"/>
    </xf>
    <xf numFmtId="172" fontId="4" fillId="0" borderId="0" xfId="0" applyNumberFormat="1" applyFont="1" applyFill="1" applyBorder="1" applyAlignment="1" applyProtection="1">
      <alignment vertical="center"/>
    </xf>
    <xf numFmtId="172" fontId="4" fillId="3" borderId="1" xfId="0" applyNumberFormat="1" applyFont="1" applyFill="1" applyBorder="1" applyAlignment="1" applyProtection="1">
      <alignment vertical="center"/>
    </xf>
    <xf numFmtId="172" fontId="4" fillId="5" borderId="1" xfId="0" applyNumberFormat="1" applyFont="1" applyFill="1" applyBorder="1" applyAlignment="1" applyProtection="1">
      <alignment vertical="center"/>
    </xf>
    <xf numFmtId="173" fontId="4" fillId="5" borderId="0" xfId="0" applyNumberFormat="1" applyFont="1" applyFill="1" applyBorder="1" applyAlignment="1" applyProtection="1">
      <alignment vertical="center"/>
    </xf>
    <xf numFmtId="0" fontId="5" fillId="0" borderId="0" xfId="0" applyFont="1">
      <alignment vertical="center"/>
    </xf>
    <xf numFmtId="0" fontId="5" fillId="0" borderId="0" xfId="0" applyFont="1" applyAlignment="1">
      <alignment vertical="center" wrapText="1"/>
    </xf>
    <xf numFmtId="17" fontId="5" fillId="0" borderId="0" xfId="0" applyNumberFormat="1" applyFont="1">
      <alignment vertical="center"/>
    </xf>
    <xf numFmtId="172" fontId="10" fillId="5" borderId="0" xfId="0" applyNumberFormat="1" applyFont="1" applyFill="1">
      <alignment vertical="center"/>
    </xf>
    <xf numFmtId="0" fontId="11" fillId="0" borderId="0" xfId="0" applyFont="1">
      <alignment vertical="center"/>
    </xf>
    <xf numFmtId="0" fontId="12" fillId="0" borderId="0" xfId="0" applyFont="1" applyAlignment="1">
      <alignment vertical="center"/>
    </xf>
    <xf numFmtId="17" fontId="5" fillId="0" borderId="0" xfId="0" quotePrefix="1" applyNumberFormat="1" applyFont="1" applyAlignment="1">
      <alignment horizontal="center" vertical="center"/>
    </xf>
    <xf numFmtId="17" fontId="5" fillId="4" borderId="0" xfId="0" quotePrefix="1" applyNumberFormat="1" applyFont="1" applyFill="1" applyAlignment="1">
      <alignment horizontal="center" vertical="center"/>
    </xf>
    <xf numFmtId="17" fontId="5" fillId="0" borderId="0" xfId="0" quotePrefix="1" applyNumberFormat="1" applyFont="1" applyFill="1" applyAlignment="1">
      <alignment horizontal="center" vertical="center"/>
    </xf>
    <xf numFmtId="0" fontId="0" fillId="0" borderId="0" xfId="0" applyAlignment="1">
      <alignment horizontal="center" vertical="center"/>
    </xf>
    <xf numFmtId="0" fontId="5" fillId="0" borderId="0" xfId="0" quotePrefix="1" applyFont="1" applyAlignment="1">
      <alignment horizontal="center" vertical="center"/>
    </xf>
    <xf numFmtId="168" fontId="4" fillId="0" borderId="0" xfId="0" applyNumberFormat="1" applyFont="1" applyFill="1" applyBorder="1" applyAlignment="1" applyProtection="1">
      <alignment vertical="center"/>
    </xf>
    <xf numFmtId="170" fontId="2" fillId="0" borderId="0" xfId="0" quotePrefix="1" applyNumberFormat="1" applyFont="1" applyFill="1" applyBorder="1" applyAlignment="1" applyProtection="1">
      <alignment vertical="center"/>
    </xf>
    <xf numFmtId="174" fontId="0" fillId="0" borderId="0" xfId="0" applyNumberFormat="1">
      <alignment vertical="center"/>
    </xf>
    <xf numFmtId="175" fontId="2" fillId="0" borderId="0" xfId="3" applyNumberFormat="1" applyFont="1" applyFill="1" applyBorder="1" applyAlignment="1" applyProtection="1">
      <alignment vertical="center"/>
    </xf>
    <xf numFmtId="172" fontId="8" fillId="5" borderId="0" xfId="0" applyNumberFormat="1" applyFont="1" applyFill="1" applyBorder="1" applyAlignment="1" applyProtection="1">
      <alignment vertical="center"/>
    </xf>
    <xf numFmtId="0" fontId="13" fillId="0" borderId="0" xfId="0" applyFont="1" applyAlignment="1">
      <alignment vertical="center"/>
    </xf>
    <xf numFmtId="38" fontId="0" fillId="0" borderId="0" xfId="0" applyNumberFormat="1">
      <alignment vertical="center"/>
    </xf>
    <xf numFmtId="6" fontId="0" fillId="0" borderId="0" xfId="0" applyNumberFormat="1">
      <alignment vertical="center"/>
    </xf>
    <xf numFmtId="0" fontId="0" fillId="0" borderId="0" xfId="0" applyAlignment="1">
      <alignment horizontal="left" vertical="center" indent="1"/>
    </xf>
    <xf numFmtId="0" fontId="0" fillId="0" borderId="0" xfId="0" applyAlignment="1">
      <alignment horizontal="left" vertical="center" wrapText="1" indent="1"/>
    </xf>
    <xf numFmtId="0" fontId="5" fillId="0" borderId="0" xfId="0" applyFont="1" applyAlignment="1">
      <alignment horizontal="left" vertical="center"/>
    </xf>
    <xf numFmtId="0" fontId="13" fillId="0" borderId="0" xfId="0" applyFont="1" applyAlignment="1">
      <alignment horizontal="center"/>
    </xf>
    <xf numFmtId="0" fontId="13" fillId="0" borderId="0" xfId="0" applyFont="1" applyAlignment="1">
      <alignment horizontal="center" vertical="center"/>
    </xf>
    <xf numFmtId="0" fontId="15" fillId="4" borderId="0" xfId="0" applyFont="1" applyFill="1" applyAlignment="1">
      <alignment horizontal="center" vertical="center"/>
    </xf>
    <xf numFmtId="0" fontId="5" fillId="0" borderId="0" xfId="0" applyFont="1" applyAlignment="1">
      <alignment vertical="center"/>
    </xf>
    <xf numFmtId="0" fontId="0" fillId="3" borderId="0" xfId="0" applyFill="1" applyAlignment="1" applyProtection="1">
      <alignment vertical="center"/>
      <protection hidden="1"/>
    </xf>
    <xf numFmtId="0" fontId="0" fillId="0" borderId="0" xfId="0" applyAlignment="1" applyProtection="1">
      <alignment vertical="center"/>
      <protection hidden="1"/>
    </xf>
    <xf numFmtId="0" fontId="0" fillId="0" borderId="0" xfId="0" applyFill="1" applyAlignment="1" applyProtection="1">
      <alignment vertical="center"/>
      <protection hidden="1"/>
    </xf>
    <xf numFmtId="0" fontId="0" fillId="0" borderId="0" xfId="0" applyProtection="1">
      <alignment vertical="center"/>
      <protection hidden="1"/>
    </xf>
    <xf numFmtId="0" fontId="0" fillId="3" borderId="0" xfId="0" applyFill="1" applyProtection="1">
      <alignment vertical="center"/>
      <protection hidden="1"/>
    </xf>
    <xf numFmtId="0" fontId="0" fillId="4" borderId="0" xfId="0" applyFill="1" applyProtection="1">
      <alignment vertical="center"/>
      <protection hidden="1"/>
    </xf>
    <xf numFmtId="0" fontId="0" fillId="0" borderId="0" xfId="0" applyFill="1" applyProtection="1">
      <alignment vertical="center"/>
      <protection hidden="1"/>
    </xf>
    <xf numFmtId="0" fontId="5" fillId="3" borderId="0" xfId="0" applyFont="1" applyFill="1" applyAlignment="1" applyProtection="1">
      <alignment horizontal="center" vertical="center"/>
      <protection hidden="1"/>
    </xf>
    <xf numFmtId="0" fontId="15" fillId="4" borderId="0" xfId="0" applyFont="1" applyFill="1" applyAlignment="1" applyProtection="1">
      <alignment horizontal="center" vertical="center"/>
      <protection hidden="1"/>
    </xf>
    <xf numFmtId="17" fontId="5" fillId="3" borderId="0" xfId="0" applyNumberFormat="1" applyFont="1" applyFill="1" applyAlignment="1" applyProtection="1">
      <alignment horizontal="center" vertical="center"/>
      <protection hidden="1"/>
    </xf>
    <xf numFmtId="17" fontId="5" fillId="0" borderId="0" xfId="0" applyNumberFormat="1" applyFont="1" applyAlignment="1" applyProtection="1">
      <alignment horizontal="center" vertical="center"/>
      <protection hidden="1"/>
    </xf>
    <xf numFmtId="17" fontId="5" fillId="4" borderId="0" xfId="0" applyNumberFormat="1" applyFont="1" applyFill="1" applyAlignment="1" applyProtection="1">
      <alignment horizontal="center" vertical="center"/>
      <protection hidden="1"/>
    </xf>
    <xf numFmtId="17" fontId="5" fillId="0" borderId="0" xfId="0" applyNumberFormat="1" applyFont="1" applyFill="1" applyAlignment="1" applyProtection="1">
      <alignment horizontal="center" vertical="center"/>
      <protection hidden="1"/>
    </xf>
    <xf numFmtId="0" fontId="5" fillId="0" borderId="0" xfId="0" quotePrefix="1" applyFont="1" applyAlignment="1" applyProtection="1">
      <alignment horizontal="center" vertical="center"/>
      <protection hidden="1"/>
    </xf>
    <xf numFmtId="164" fontId="5" fillId="3" borderId="0" xfId="0" applyNumberFormat="1" applyFont="1" applyFill="1" applyBorder="1" applyAlignment="1" applyProtection="1">
      <alignment horizontal="center" vertical="center"/>
      <protection hidden="1"/>
    </xf>
    <xf numFmtId="164" fontId="5" fillId="0" borderId="0" xfId="0" applyNumberFormat="1" applyFont="1" applyFill="1" applyBorder="1" applyAlignment="1" applyProtection="1">
      <alignment horizontal="center" vertical="center"/>
      <protection hidden="1"/>
    </xf>
    <xf numFmtId="164" fontId="5" fillId="4" borderId="0" xfId="0" applyNumberFormat="1"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170" fontId="2" fillId="3" borderId="1" xfId="0" applyNumberFormat="1" applyFont="1" applyFill="1" applyBorder="1" applyAlignment="1" applyProtection="1">
      <alignment vertical="center"/>
      <protection hidden="1"/>
    </xf>
    <xf numFmtId="172" fontId="2" fillId="0" borderId="1" xfId="0" applyNumberFormat="1" applyFont="1" applyFill="1" applyBorder="1" applyAlignment="1" applyProtection="1">
      <alignment vertical="center"/>
      <protection hidden="1"/>
    </xf>
    <xf numFmtId="0" fontId="0" fillId="5" borderId="0" xfId="0" applyFill="1" applyProtection="1">
      <alignment vertical="center"/>
      <protection hidden="1"/>
    </xf>
    <xf numFmtId="172" fontId="2" fillId="5" borderId="0" xfId="0" applyNumberFormat="1" applyFont="1" applyFill="1" applyBorder="1" applyAlignment="1" applyProtection="1">
      <alignment vertical="center"/>
      <protection hidden="1"/>
    </xf>
    <xf numFmtId="172" fontId="0" fillId="5" borderId="0" xfId="0" applyNumberFormat="1" applyFill="1" applyProtection="1">
      <alignment vertical="center"/>
      <protection hidden="1"/>
    </xf>
    <xf numFmtId="172" fontId="0" fillId="0" borderId="0" xfId="0" applyNumberFormat="1" applyProtection="1">
      <alignment vertical="center"/>
      <protection hidden="1"/>
    </xf>
    <xf numFmtId="172" fontId="0" fillId="4" borderId="0" xfId="0" applyNumberFormat="1" applyFill="1" applyProtection="1">
      <alignment vertical="center"/>
      <protection hidden="1"/>
    </xf>
    <xf numFmtId="172" fontId="0" fillId="0" borderId="0" xfId="0" applyNumberFormat="1" applyFill="1" applyProtection="1">
      <alignment vertical="center"/>
      <protection hidden="1"/>
    </xf>
    <xf numFmtId="170" fontId="2" fillId="3" borderId="0" xfId="0" applyNumberFormat="1" applyFont="1" applyFill="1" applyBorder="1" applyAlignment="1" applyProtection="1">
      <alignment vertical="center"/>
      <protection hidden="1"/>
    </xf>
    <xf numFmtId="172" fontId="2" fillId="0" borderId="0" xfId="0" applyNumberFormat="1" applyFont="1" applyFill="1" applyBorder="1" applyAlignment="1" applyProtection="1">
      <alignment vertical="center"/>
      <protection hidden="1"/>
    </xf>
    <xf numFmtId="172" fontId="2" fillId="4" borderId="0" xfId="0" applyNumberFormat="1" applyFont="1" applyFill="1" applyBorder="1" applyAlignment="1" applyProtection="1">
      <alignment vertical="center"/>
      <protection hidden="1"/>
    </xf>
    <xf numFmtId="174" fontId="0" fillId="0" borderId="0" xfId="0" applyNumberFormat="1" applyProtection="1">
      <alignment vertical="center"/>
      <protection hidden="1"/>
    </xf>
    <xf numFmtId="170" fontId="4" fillId="3" borderId="2" xfId="0" applyNumberFormat="1" applyFont="1" applyFill="1" applyBorder="1" applyAlignment="1" applyProtection="1">
      <alignment vertical="center"/>
      <protection hidden="1"/>
    </xf>
    <xf numFmtId="167" fontId="4" fillId="3" borderId="1" xfId="0" applyNumberFormat="1" applyFont="1" applyFill="1" applyBorder="1" applyAlignment="1" applyProtection="1">
      <alignment vertical="center"/>
      <protection hidden="1"/>
    </xf>
    <xf numFmtId="167" fontId="4" fillId="3" borderId="2" xfId="0" applyNumberFormat="1" applyFont="1" applyFill="1" applyBorder="1" applyAlignment="1" applyProtection="1">
      <alignment vertical="center"/>
      <protection hidden="1"/>
    </xf>
    <xf numFmtId="170" fontId="2" fillId="0" borderId="0" xfId="0" applyNumberFormat="1" applyFont="1" applyFill="1" applyBorder="1" applyAlignment="1" applyProtection="1">
      <alignment vertical="center"/>
      <protection hidden="1"/>
    </xf>
    <xf numFmtId="167" fontId="0" fillId="3" borderId="0" xfId="0" applyNumberFormat="1" applyFill="1" applyProtection="1">
      <alignment vertical="center"/>
      <protection hidden="1"/>
    </xf>
    <xf numFmtId="172" fontId="4" fillId="5" borderId="0" xfId="0" applyNumberFormat="1" applyFont="1" applyFill="1" applyBorder="1" applyAlignment="1" applyProtection="1">
      <alignment vertical="center"/>
      <protection hidden="1"/>
    </xf>
    <xf numFmtId="172" fontId="4" fillId="0" borderId="0" xfId="0" applyNumberFormat="1" applyFont="1" applyFill="1" applyBorder="1" applyAlignment="1" applyProtection="1">
      <alignment vertical="center"/>
      <protection hidden="1"/>
    </xf>
    <xf numFmtId="167" fontId="4" fillId="3" borderId="0" xfId="0" applyNumberFormat="1" applyFont="1" applyFill="1" applyBorder="1" applyAlignment="1" applyProtection="1">
      <alignment vertical="center"/>
      <protection hidden="1"/>
    </xf>
    <xf numFmtId="172" fontId="4" fillId="4" borderId="0" xfId="0" applyNumberFormat="1" applyFont="1" applyFill="1" applyBorder="1" applyAlignment="1" applyProtection="1">
      <alignment vertical="center"/>
      <protection hidden="1"/>
    </xf>
    <xf numFmtId="164" fontId="4" fillId="3" borderId="1" xfId="0" applyNumberFormat="1" applyFont="1" applyFill="1" applyBorder="1" applyAlignment="1" applyProtection="1">
      <alignment vertical="center"/>
      <protection hidden="1"/>
    </xf>
    <xf numFmtId="172" fontId="4" fillId="5" borderId="1" xfId="0" applyNumberFormat="1" applyFont="1" applyFill="1" applyBorder="1" applyAlignment="1" applyProtection="1">
      <alignment vertical="center"/>
      <protection hidden="1"/>
    </xf>
    <xf numFmtId="0" fontId="5" fillId="0" borderId="0" xfId="0" applyFont="1" applyAlignment="1" applyProtection="1">
      <alignment horizontal="center" vertical="center"/>
      <protection hidden="1"/>
    </xf>
    <xf numFmtId="0" fontId="0" fillId="0" borderId="3" xfId="0" applyBorder="1">
      <alignment vertical="center"/>
    </xf>
    <xf numFmtId="0" fontId="0" fillId="0" borderId="4" xfId="0" applyBorder="1">
      <alignment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17" fontId="5" fillId="0" borderId="5" xfId="0" applyNumberFormat="1" applyFont="1" applyBorder="1" applyAlignment="1">
      <alignment horizontal="center" vertical="center"/>
    </xf>
    <xf numFmtId="17" fontId="5" fillId="4" borderId="6" xfId="0" applyNumberFormat="1" applyFont="1" applyFill="1" applyBorder="1" applyAlignment="1">
      <alignment horizontal="center" vertical="center"/>
    </xf>
    <xf numFmtId="17" fontId="5" fillId="0" borderId="6" xfId="0" applyNumberFormat="1" applyFont="1" applyFill="1" applyBorder="1" applyAlignment="1">
      <alignment horizontal="center" vertical="center"/>
    </xf>
    <xf numFmtId="0" fontId="5" fillId="0" borderId="7" xfId="0" quotePrefix="1" applyFont="1" applyBorder="1" applyAlignment="1">
      <alignment horizontal="center" vertical="center"/>
    </xf>
    <xf numFmtId="6" fontId="0" fillId="0" borderId="5" xfId="0" applyNumberFormat="1" applyBorder="1">
      <alignment vertical="center"/>
    </xf>
    <xf numFmtId="6" fontId="0" fillId="0" borderId="6" xfId="0" applyNumberFormat="1" applyBorder="1">
      <alignment vertical="center"/>
    </xf>
    <xf numFmtId="6" fontId="0" fillId="0" borderId="7" xfId="0" applyNumberFormat="1" applyBorder="1">
      <alignment vertical="center"/>
    </xf>
    <xf numFmtId="6" fontId="0" fillId="0" borderId="8" xfId="0" applyNumberFormat="1" applyBorder="1">
      <alignment vertical="center"/>
    </xf>
    <xf numFmtId="6" fontId="0" fillId="0" borderId="9" xfId="0" applyNumberFormat="1" applyBorder="1">
      <alignment vertical="center"/>
    </xf>
    <xf numFmtId="6" fontId="0" fillId="0" borderId="10" xfId="0" applyNumberFormat="1" applyBorder="1">
      <alignment vertical="center"/>
    </xf>
    <xf numFmtId="0" fontId="5" fillId="0" borderId="14" xfId="0" applyFont="1" applyBorder="1">
      <alignment vertical="center"/>
    </xf>
    <xf numFmtId="164" fontId="5" fillId="0" borderId="15" xfId="0" applyNumberFormat="1" applyFont="1" applyFill="1" applyBorder="1" applyAlignment="1" applyProtection="1">
      <alignment horizontal="center" vertical="center"/>
    </xf>
    <xf numFmtId="164" fontId="5" fillId="4" borderId="16" xfId="0" applyNumberFormat="1" applyFont="1" applyFill="1" applyBorder="1" applyAlignment="1" applyProtection="1">
      <alignment horizontal="center" vertical="center"/>
    </xf>
    <xf numFmtId="164" fontId="5" fillId="0" borderId="16" xfId="0" applyNumberFormat="1" applyFont="1" applyFill="1" applyBorder="1" applyAlignment="1" applyProtection="1">
      <alignment horizontal="center" vertical="center"/>
    </xf>
    <xf numFmtId="164" fontId="5" fillId="0" borderId="17" xfId="0" applyNumberFormat="1" applyFont="1" applyFill="1" applyBorder="1" applyAlignment="1" applyProtection="1">
      <alignment horizontal="center" vertical="center"/>
    </xf>
    <xf numFmtId="0" fontId="0" fillId="0" borderId="18" xfId="0" applyBorder="1">
      <alignment vertical="center"/>
    </xf>
    <xf numFmtId="0" fontId="0" fillId="0" borderId="19" xfId="0" applyBorder="1">
      <alignment vertical="center"/>
    </xf>
    <xf numFmtId="0" fontId="0" fillId="4" borderId="20" xfId="0" applyFill="1"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6" fontId="0" fillId="0" borderId="24" xfId="0" applyNumberFormat="1" applyBorder="1">
      <alignment vertical="center"/>
    </xf>
    <xf numFmtId="6" fontId="0" fillId="0" borderId="25" xfId="0" applyNumberFormat="1" applyBorder="1">
      <alignment vertical="center"/>
    </xf>
    <xf numFmtId="6" fontId="0" fillId="0" borderId="26" xfId="0" applyNumberFormat="1" applyBorder="1">
      <alignment vertical="center"/>
    </xf>
    <xf numFmtId="6" fontId="0" fillId="0" borderId="11" xfId="0" applyNumberFormat="1" applyBorder="1">
      <alignment vertical="center"/>
    </xf>
    <xf numFmtId="6" fontId="0" fillId="0" borderId="12" xfId="0" applyNumberFormat="1" applyBorder="1">
      <alignment vertical="center"/>
    </xf>
    <xf numFmtId="6" fontId="0" fillId="0" borderId="13"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0" fillId="0" borderId="23" xfId="0" applyNumberFormat="1" applyBorder="1">
      <alignment vertical="center"/>
    </xf>
    <xf numFmtId="164" fontId="5" fillId="0" borderId="28" xfId="0" applyNumberFormat="1" applyFont="1" applyFill="1" applyBorder="1" applyAlignment="1" applyProtection="1">
      <alignment horizontal="center" vertical="center"/>
    </xf>
    <xf numFmtId="0" fontId="0" fillId="0" borderId="29" xfId="0" applyBorder="1">
      <alignment vertical="center"/>
    </xf>
    <xf numFmtId="6" fontId="0" fillId="0" borderId="31" xfId="0" applyNumberFormat="1" applyBorder="1">
      <alignment vertical="center"/>
    </xf>
    <xf numFmtId="0" fontId="0" fillId="0" borderId="32" xfId="0" applyBorder="1">
      <alignment vertical="center"/>
    </xf>
    <xf numFmtId="6" fontId="0" fillId="0" borderId="32" xfId="0" applyNumberFormat="1" applyBorder="1">
      <alignment vertical="center"/>
    </xf>
    <xf numFmtId="6" fontId="0" fillId="0" borderId="30" xfId="0" applyNumberFormat="1" applyBorder="1">
      <alignment vertical="center"/>
    </xf>
    <xf numFmtId="6" fontId="0" fillId="0" borderId="29" xfId="0" applyNumberFormat="1" applyBorder="1">
      <alignment vertical="center"/>
    </xf>
    <xf numFmtId="6" fontId="0" fillId="0" borderId="33" xfId="0" applyNumberFormat="1" applyBorder="1">
      <alignment vertical="center"/>
    </xf>
    <xf numFmtId="164" fontId="5" fillId="0" borderId="34" xfId="0" applyNumberFormat="1" applyFont="1" applyFill="1" applyBorder="1" applyAlignment="1" applyProtection="1">
      <alignment horizontal="center" vertical="center"/>
    </xf>
    <xf numFmtId="0" fontId="0" fillId="0" borderId="27" xfId="0" applyBorder="1">
      <alignment vertical="center"/>
    </xf>
    <xf numFmtId="0" fontId="0" fillId="0" borderId="35" xfId="0" applyBorder="1">
      <alignment vertical="center"/>
    </xf>
    <xf numFmtId="0" fontId="15" fillId="0" borderId="18" xfId="0" applyFont="1" applyBorder="1">
      <alignment vertical="center"/>
    </xf>
    <xf numFmtId="0" fontId="0" fillId="0" borderId="27" xfId="0" applyBorder="1" applyAlignment="1">
      <alignment vertical="center" wrapText="1"/>
    </xf>
    <xf numFmtId="10" fontId="2" fillId="4" borderId="0" xfId="2" applyNumberFormat="1" applyFont="1" applyFill="1" applyBorder="1" applyAlignment="1" applyProtection="1">
      <alignment vertical="center"/>
    </xf>
    <xf numFmtId="0" fontId="0" fillId="0" borderId="35" xfId="0" applyBorder="1" applyAlignment="1">
      <alignment vertical="center" wrapText="1"/>
    </xf>
    <xf numFmtId="0" fontId="5" fillId="4" borderId="0" xfId="0" applyFont="1" applyFill="1" applyAlignment="1" applyProtection="1">
      <alignment horizontal="center" vertical="center"/>
      <protection hidden="1"/>
    </xf>
    <xf numFmtId="164" fontId="5" fillId="0" borderId="0" xfId="0" applyNumberFormat="1" applyFont="1" applyFill="1" applyBorder="1" applyAlignment="1" applyProtection="1">
      <alignment vertical="center"/>
      <protection hidden="1"/>
    </xf>
    <xf numFmtId="17" fontId="0" fillId="0" borderId="0" xfId="0" applyNumberFormat="1" applyAlignment="1" applyProtection="1">
      <alignment horizontal="center" vertical="center"/>
      <protection hidden="1"/>
    </xf>
    <xf numFmtId="164" fontId="4" fillId="0" borderId="0" xfId="0" applyNumberFormat="1" applyFont="1" applyFill="1" applyBorder="1" applyAlignment="1" applyProtection="1">
      <alignment vertical="center"/>
      <protection hidden="1"/>
    </xf>
    <xf numFmtId="165" fontId="0" fillId="0" borderId="0" xfId="0" applyNumberFormat="1" applyProtection="1">
      <alignment vertical="center"/>
      <protection hidden="1"/>
    </xf>
    <xf numFmtId="164" fontId="2" fillId="0" borderId="0" xfId="0" applyNumberFormat="1" applyFont="1" applyFill="1" applyBorder="1" applyAlignment="1" applyProtection="1">
      <alignment vertical="center"/>
      <protection hidden="1"/>
    </xf>
    <xf numFmtId="170" fontId="2" fillId="4" borderId="0" xfId="0" applyNumberFormat="1" applyFont="1" applyFill="1" applyBorder="1" applyAlignment="1" applyProtection="1">
      <alignment vertical="center"/>
      <protection hidden="1"/>
    </xf>
    <xf numFmtId="167" fontId="0" fillId="0" borderId="0" xfId="0" applyNumberFormat="1" applyProtection="1">
      <alignment vertical="center"/>
      <protection hidden="1"/>
    </xf>
    <xf numFmtId="167" fontId="2" fillId="0" borderId="0" xfId="0" applyNumberFormat="1" applyFont="1" applyFill="1" applyBorder="1" applyAlignment="1" applyProtection="1">
      <alignment vertical="center"/>
      <protection hidden="1"/>
    </xf>
    <xf numFmtId="0" fontId="4" fillId="0" borderId="1" xfId="0" applyNumberFormat="1" applyFont="1" applyFill="1" applyBorder="1" applyAlignment="1" applyProtection="1">
      <alignment vertical="center"/>
      <protection hidden="1"/>
    </xf>
    <xf numFmtId="170" fontId="2" fillId="0" borderId="1" xfId="0" applyNumberFormat="1" applyFont="1" applyFill="1" applyBorder="1" applyAlignment="1" applyProtection="1">
      <alignment vertical="center"/>
      <protection hidden="1"/>
    </xf>
    <xf numFmtId="170" fontId="2" fillId="4" borderId="1" xfId="0" applyNumberFormat="1" applyFont="1" applyFill="1" applyBorder="1" applyAlignment="1" applyProtection="1">
      <alignment vertical="center"/>
      <protection hidden="1"/>
    </xf>
    <xf numFmtId="167" fontId="4" fillId="0" borderId="0" xfId="0" applyNumberFormat="1" applyFont="1" applyFill="1" applyBorder="1" applyAlignment="1" applyProtection="1">
      <alignment vertical="center"/>
      <protection hidden="1"/>
    </xf>
    <xf numFmtId="0" fontId="4" fillId="0" borderId="2" xfId="0" applyNumberFormat="1" applyFont="1" applyFill="1" applyBorder="1" applyAlignment="1" applyProtection="1">
      <alignment vertical="center"/>
      <protection hidden="1"/>
    </xf>
    <xf numFmtId="170" fontId="4" fillId="0" borderId="2" xfId="0" applyNumberFormat="1" applyFont="1" applyFill="1" applyBorder="1" applyAlignment="1" applyProtection="1">
      <alignment vertical="center"/>
      <protection hidden="1"/>
    </xf>
    <xf numFmtId="170" fontId="4" fillId="4" borderId="2" xfId="0" applyNumberFormat="1" applyFont="1" applyFill="1" applyBorder="1" applyAlignment="1" applyProtection="1">
      <alignment vertical="center"/>
      <protection hidden="1"/>
    </xf>
    <xf numFmtId="170" fontId="4" fillId="0" borderId="0" xfId="0" applyNumberFormat="1" applyFont="1" applyFill="1" applyBorder="1" applyAlignment="1" applyProtection="1">
      <alignment vertical="center"/>
      <protection hidden="1"/>
    </xf>
    <xf numFmtId="167" fontId="4" fillId="0" borderId="1" xfId="0" applyNumberFormat="1" applyFont="1" applyFill="1" applyBorder="1" applyAlignment="1" applyProtection="1">
      <alignment vertical="center"/>
      <protection hidden="1"/>
    </xf>
    <xf numFmtId="167" fontId="4" fillId="4" borderId="1" xfId="0" applyNumberFormat="1" applyFont="1" applyFill="1" applyBorder="1" applyAlignment="1" applyProtection="1">
      <alignment vertical="center"/>
      <protection hidden="1"/>
    </xf>
    <xf numFmtId="167" fontId="0" fillId="4" borderId="0" xfId="0" applyNumberFormat="1" applyFill="1" applyProtection="1">
      <alignment vertical="center"/>
      <protection hidden="1"/>
    </xf>
    <xf numFmtId="167" fontId="0" fillId="0" borderId="0" xfId="0" applyNumberFormat="1" applyFill="1" applyProtection="1">
      <alignment vertical="center"/>
      <protection hidden="1"/>
    </xf>
    <xf numFmtId="167" fontId="4" fillId="0" borderId="2" xfId="0" applyNumberFormat="1" applyFont="1" applyFill="1" applyBorder="1" applyAlignment="1" applyProtection="1">
      <alignment vertical="center"/>
      <protection hidden="1"/>
    </xf>
    <xf numFmtId="167" fontId="4" fillId="4" borderId="2" xfId="0" applyNumberFormat="1" applyFont="1" applyFill="1" applyBorder="1" applyAlignment="1" applyProtection="1">
      <alignment vertical="center"/>
      <protection hidden="1"/>
    </xf>
    <xf numFmtId="164" fontId="4" fillId="0" borderId="2" xfId="0" applyNumberFormat="1" applyFont="1" applyFill="1" applyBorder="1" applyAlignment="1" applyProtection="1">
      <alignment vertical="center"/>
      <protection hidden="1"/>
    </xf>
    <xf numFmtId="164" fontId="4" fillId="4" borderId="2" xfId="0" applyNumberFormat="1" applyFont="1" applyFill="1" applyBorder="1" applyAlignment="1" applyProtection="1">
      <alignment vertical="center"/>
      <protection hidden="1"/>
    </xf>
    <xf numFmtId="164" fontId="2" fillId="4" borderId="0" xfId="0" applyNumberFormat="1" applyFont="1" applyFill="1" applyBorder="1" applyAlignment="1" applyProtection="1">
      <alignment vertical="center"/>
      <protection hidden="1"/>
    </xf>
    <xf numFmtId="164" fontId="2" fillId="3" borderId="0" xfId="0" applyNumberFormat="1" applyFont="1" applyFill="1" applyBorder="1" applyAlignment="1" applyProtection="1">
      <alignment vertical="center"/>
      <protection hidden="1"/>
    </xf>
    <xf numFmtId="164" fontId="4" fillId="0" borderId="1" xfId="0" applyNumberFormat="1" applyFont="1" applyFill="1" applyBorder="1" applyAlignment="1" applyProtection="1">
      <alignment vertical="center"/>
      <protection hidden="1"/>
    </xf>
    <xf numFmtId="164" fontId="4" fillId="4" borderId="1" xfId="0" applyNumberFormat="1" applyFont="1" applyFill="1" applyBorder="1" applyAlignment="1" applyProtection="1">
      <alignment vertical="center"/>
      <protection hidden="1"/>
    </xf>
    <xf numFmtId="164" fontId="4" fillId="3" borderId="2" xfId="0" applyNumberFormat="1" applyFont="1" applyFill="1" applyBorder="1" applyAlignment="1" applyProtection="1">
      <alignment vertical="center"/>
      <protection hidden="1"/>
    </xf>
    <xf numFmtId="171" fontId="2" fillId="4" borderId="0" xfId="0" applyNumberFormat="1" applyFont="1" applyFill="1" applyBorder="1" applyAlignment="1" applyProtection="1">
      <alignment vertical="center"/>
      <protection hidden="1"/>
    </xf>
    <xf numFmtId="171" fontId="2" fillId="3" borderId="0" xfId="0" applyNumberFormat="1" applyFont="1" applyFill="1" applyBorder="1" applyAlignment="1" applyProtection="1">
      <alignment vertical="center"/>
      <protection hidden="1"/>
    </xf>
    <xf numFmtId="166" fontId="0" fillId="0" borderId="0" xfId="0" applyNumberFormat="1" applyProtection="1">
      <alignment vertical="center"/>
      <protection hidden="1"/>
    </xf>
    <xf numFmtId="164" fontId="0" fillId="0" borderId="0" xfId="0" applyNumberFormat="1" applyProtection="1">
      <alignment vertical="center"/>
      <protection hidden="1"/>
    </xf>
    <xf numFmtId="169" fontId="9" fillId="4" borderId="0" xfId="0" applyNumberFormat="1" applyFont="1" applyFill="1" applyProtection="1">
      <alignment vertical="center"/>
      <protection hidden="1"/>
    </xf>
    <xf numFmtId="169" fontId="9" fillId="3" borderId="0" xfId="0" applyNumberFormat="1" applyFont="1" applyFill="1" applyProtection="1">
      <alignment vertical="center"/>
      <protection hidden="1"/>
    </xf>
    <xf numFmtId="169" fontId="9" fillId="0" borderId="0" xfId="0" applyNumberFormat="1" applyFont="1" applyFill="1" applyProtection="1">
      <alignment vertical="center"/>
      <protection hidden="1"/>
    </xf>
    <xf numFmtId="167" fontId="2" fillId="4" borderId="0" xfId="0" applyNumberFormat="1" applyFont="1" applyFill="1" applyBorder="1" applyAlignment="1" applyProtection="1">
      <alignment vertical="center"/>
      <protection hidden="1"/>
    </xf>
    <xf numFmtId="167" fontId="2" fillId="3" borderId="0" xfId="0" applyNumberFormat="1" applyFont="1" applyFill="1" applyBorder="1" applyAlignment="1" applyProtection="1">
      <alignment vertical="center"/>
      <protection hidden="1"/>
    </xf>
    <xf numFmtId="168" fontId="4" fillId="0" borderId="2" xfId="0" applyNumberFormat="1" applyFont="1" applyFill="1" applyBorder="1" applyAlignment="1" applyProtection="1">
      <alignment vertical="center"/>
      <protection hidden="1"/>
    </xf>
    <xf numFmtId="168" fontId="4" fillId="4" borderId="2" xfId="0" applyNumberFormat="1" applyFont="1" applyFill="1" applyBorder="1" applyAlignment="1" applyProtection="1">
      <alignment vertical="center"/>
      <protection hidden="1"/>
    </xf>
    <xf numFmtId="168" fontId="4" fillId="3" borderId="2" xfId="0" applyNumberFormat="1" applyFont="1" applyFill="1" applyBorder="1" applyAlignment="1" applyProtection="1">
      <alignment vertical="center"/>
      <protection hidden="1"/>
    </xf>
    <xf numFmtId="168" fontId="4" fillId="5" borderId="2" xfId="0" applyNumberFormat="1" applyFont="1" applyFill="1" applyBorder="1" applyAlignment="1" applyProtection="1">
      <alignment vertical="center"/>
      <protection hidden="1"/>
    </xf>
    <xf numFmtId="0" fontId="0" fillId="0" borderId="0" xfId="0" applyAlignment="1" applyProtection="1">
      <protection hidden="1"/>
    </xf>
    <xf numFmtId="165" fontId="0" fillId="0" borderId="0" xfId="0" applyNumberFormat="1" applyAlignment="1" applyProtection="1">
      <protection hidden="1"/>
    </xf>
    <xf numFmtId="165" fontId="0" fillId="0" borderId="0" xfId="0" applyNumberFormat="1" applyAlignment="1" applyProtection="1">
      <alignment vertical="top"/>
      <protection hidden="1"/>
    </xf>
    <xf numFmtId="0" fontId="0" fillId="0" borderId="0" xfId="0" applyAlignment="1" applyProtection="1">
      <alignment vertical="top"/>
      <protection hidden="1"/>
    </xf>
    <xf numFmtId="0" fontId="0" fillId="0" borderId="0" xfId="0" applyAlignment="1" applyProtection="1">
      <alignment vertical="top" wrapText="1"/>
      <protection hidden="1"/>
    </xf>
    <xf numFmtId="0" fontId="0" fillId="0" borderId="0" xfId="0" applyAlignment="1" applyProtection="1">
      <alignment wrapText="1"/>
      <protection hidden="1"/>
    </xf>
    <xf numFmtId="165" fontId="0" fillId="0" borderId="0" xfId="0" applyNumberFormat="1" applyAlignment="1" applyProtection="1">
      <alignment vertical="center"/>
      <protection hidden="1"/>
    </xf>
    <xf numFmtId="0" fontId="2" fillId="0" borderId="0" xfId="0" applyNumberFormat="1" applyFont="1" applyFill="1" applyBorder="1" applyAlignment="1" applyProtection="1">
      <alignment vertical="center"/>
    </xf>
    <xf numFmtId="0" fontId="17" fillId="0" borderId="0" xfId="0" applyFont="1" applyAlignment="1">
      <alignment vertical="top"/>
    </xf>
    <xf numFmtId="0" fontId="18" fillId="0" borderId="0" xfId="0" applyFont="1" applyAlignment="1">
      <alignment horizontal="left" vertical="top"/>
    </xf>
    <xf numFmtId="0" fontId="14" fillId="0" borderId="0" xfId="0" applyFont="1" applyAlignment="1">
      <alignment horizontal="left" vertical="top"/>
    </xf>
    <xf numFmtId="0" fontId="19" fillId="0" borderId="0" xfId="0" applyFont="1" applyAlignment="1">
      <alignment vertical="top"/>
    </xf>
    <xf numFmtId="0" fontId="20" fillId="0" borderId="0" xfId="0" applyFont="1" applyAlignment="1">
      <alignment vertical="top"/>
    </xf>
    <xf numFmtId="0" fontId="14" fillId="0" borderId="0" xfId="0" applyFont="1" applyAlignment="1">
      <alignment horizontal="left" vertical="top" wrapText="1"/>
    </xf>
    <xf numFmtId="0" fontId="19" fillId="0" borderId="0" xfId="0" applyFont="1" applyAlignment="1">
      <alignment vertical="top"/>
    </xf>
    <xf numFmtId="0" fontId="18" fillId="0" borderId="0" xfId="0" applyFont="1" applyAlignment="1">
      <alignment horizontal="left" vertical="top" wrapText="1"/>
    </xf>
    <xf numFmtId="0" fontId="21" fillId="0" borderId="0" xfId="0" applyFont="1">
      <alignment vertical="center"/>
    </xf>
    <xf numFmtId="0" fontId="21" fillId="0" borderId="0" xfId="0" applyFont="1" applyAlignment="1">
      <alignment vertical="top"/>
    </xf>
    <xf numFmtId="0" fontId="16" fillId="0" borderId="0" xfId="0" applyFont="1">
      <alignment vertical="center"/>
    </xf>
    <xf numFmtId="164" fontId="5" fillId="0" borderId="0" xfId="0" applyNumberFormat="1" applyFont="1" applyAlignment="1">
      <alignment horizontal="center" vertical="center"/>
    </xf>
    <xf numFmtId="0" fontId="13" fillId="0" borderId="2" xfId="0" applyFont="1" applyBorder="1" applyAlignment="1">
      <alignment horizontal="center" vertical="center"/>
    </xf>
    <xf numFmtId="0" fontId="0" fillId="0" borderId="2" xfId="0" applyBorder="1" applyAlignment="1">
      <alignment horizontal="left" vertical="center" indent="1"/>
    </xf>
    <xf numFmtId="38" fontId="0" fillId="0" borderId="2" xfId="1" applyNumberFormat="1" applyFont="1" applyBorder="1" applyAlignment="1">
      <alignment vertical="center"/>
    </xf>
    <xf numFmtId="6" fontId="0" fillId="0" borderId="2" xfId="0" applyNumberFormat="1" applyBorder="1">
      <alignment vertical="center"/>
    </xf>
    <xf numFmtId="0" fontId="5" fillId="8" borderId="2" xfId="0" applyFont="1" applyFill="1" applyBorder="1" applyAlignment="1">
      <alignment horizontal="right" vertical="center" indent="1"/>
    </xf>
    <xf numFmtId="6" fontId="5" fillId="8" borderId="2" xfId="0" applyNumberFormat="1" applyFont="1" applyFill="1" applyBorder="1">
      <alignment vertical="center"/>
    </xf>
    <xf numFmtId="0" fontId="14" fillId="0" borderId="0" xfId="0" applyFont="1" applyAlignment="1">
      <alignment horizontal="left" vertical="top" wrapText="1" indent="1"/>
    </xf>
    <xf numFmtId="6" fontId="0" fillId="0" borderId="0" xfId="0" applyNumberFormat="1" applyAlignment="1">
      <alignment vertical="top"/>
    </xf>
    <xf numFmtId="0" fontId="0" fillId="0" borderId="0" xfId="0" applyAlignment="1">
      <alignment horizontal="left" vertical="top" wrapText="1" inden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CIGRE Australia</a:t>
            </a:r>
          </a:p>
          <a:p>
            <a:pPr>
              <a:defRPr/>
            </a:pPr>
            <a:r>
              <a:rPr lang="en-AU"/>
              <a:t>FY Projections 2020-2023</a:t>
            </a:r>
          </a:p>
        </c:rich>
      </c:tx>
      <c:layout>
        <c:manualLayout>
          <c:xMode val="edge"/>
          <c:yMode val="edge"/>
          <c:x val="0.4067541848814088"/>
          <c:y val="2.565747273893521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SUMMARY!$A$6</c:f>
              <c:strCache>
                <c:ptCount val="1"/>
              </c:strCache>
            </c:strRef>
          </c:tx>
          <c:spPr>
            <a:ln w="28575" cap="rnd">
              <a:solidFill>
                <a:schemeClr val="accent1"/>
              </a:solidFill>
              <a:round/>
            </a:ln>
            <a:effectLst/>
          </c:spPr>
          <c:marker>
            <c:symbol val="none"/>
          </c:marker>
          <c:cat>
            <c:strRef>
              <c:f>SUMMARY!$C$3:$F$3</c:f>
              <c:strCache>
                <c:ptCount val="4"/>
                <c:pt idx="0">
                  <c:v>Jun-20</c:v>
                </c:pt>
                <c:pt idx="1">
                  <c:v>Jun-21</c:v>
                </c:pt>
                <c:pt idx="2">
                  <c:v>Jun-22</c:v>
                </c:pt>
                <c:pt idx="3">
                  <c:v>Jun-23</c:v>
                </c:pt>
              </c:strCache>
            </c:strRef>
          </c:cat>
          <c:val>
            <c:numRef>
              <c:f>SUMMARY!$C$6:$F$6</c:f>
              <c:numCache>
                <c:formatCode>#,##0_);[Red]\(#,##0\)</c:formatCode>
                <c:ptCount val="4"/>
                <c:pt idx="0">
                  <c:v>20146.91165454546</c:v>
                </c:pt>
                <c:pt idx="1">
                  <c:v>28002.241343272734</c:v>
                </c:pt>
                <c:pt idx="2">
                  <c:v>24695.062024316518</c:v>
                </c:pt>
                <c:pt idx="3" formatCode="&quot;$&quot;#,##0_);[Red]\(&quot;$&quot;#,##0\)">
                  <c:v>17632.107268206193</c:v>
                </c:pt>
              </c:numCache>
            </c:numRef>
          </c:val>
          <c:smooth val="0"/>
          <c:extLst>
            <c:ext xmlns:c16="http://schemas.microsoft.com/office/drawing/2014/chart" uri="{C3380CC4-5D6E-409C-BE32-E72D297353CC}">
              <c16:uniqueId val="{00000000-776D-4464-8016-54405BDE977D}"/>
            </c:ext>
          </c:extLst>
        </c:ser>
        <c:ser>
          <c:idx val="1"/>
          <c:order val="1"/>
          <c:tx>
            <c:strRef>
              <c:f>SUMMARY!$A$9</c:f>
              <c:strCache>
                <c:ptCount val="1"/>
              </c:strCache>
            </c:strRef>
          </c:tx>
          <c:spPr>
            <a:ln w="28575" cap="rnd">
              <a:solidFill>
                <a:schemeClr val="accent2"/>
              </a:solidFill>
              <a:round/>
            </a:ln>
            <a:effectLst/>
          </c:spPr>
          <c:marker>
            <c:symbol val="none"/>
          </c:marker>
          <c:val>
            <c:numRef>
              <c:f>SUMMARY!$C$9:$F$9</c:f>
              <c:numCache>
                <c:formatCode>"$"#,##0_);[Red]\("$"#,##0\)</c:formatCode>
                <c:ptCount val="4"/>
                <c:pt idx="0">
                  <c:v>48307.868345454568</c:v>
                </c:pt>
                <c:pt idx="1">
                  <c:v>-11897.241343272734</c:v>
                </c:pt>
                <c:pt idx="2">
                  <c:v>-7786.4620243164245</c:v>
                </c:pt>
                <c:pt idx="3">
                  <c:v>0</c:v>
                </c:pt>
              </c:numCache>
            </c:numRef>
          </c:val>
          <c:smooth val="0"/>
          <c:extLst>
            <c:ext xmlns:c16="http://schemas.microsoft.com/office/drawing/2014/chart" uri="{C3380CC4-5D6E-409C-BE32-E72D297353CC}">
              <c16:uniqueId val="{00000001-776D-4464-8016-54405BDE977D}"/>
            </c:ext>
          </c:extLst>
        </c:ser>
        <c:ser>
          <c:idx val="2"/>
          <c:order val="2"/>
          <c:tx>
            <c:strRef>
              <c:f>SUMMARY!$A$12</c:f>
              <c:strCache>
                <c:ptCount val="1"/>
              </c:strCache>
            </c:strRef>
          </c:tx>
          <c:spPr>
            <a:ln w="28575" cap="rnd">
              <a:solidFill>
                <a:schemeClr val="accent3"/>
              </a:solidFill>
              <a:round/>
            </a:ln>
            <a:effectLst/>
          </c:spPr>
          <c:marker>
            <c:symbol val="none"/>
          </c:marker>
          <c:val>
            <c:numRef>
              <c:f>SUMMARY!$C$12:$F$12</c:f>
              <c:numCache>
                <c:formatCode>"$"#,##0_);[Red]\("$"#,##0\)</c:formatCode>
                <c:ptCount val="4"/>
                <c:pt idx="0">
                  <c:v>48307.868345454568</c:v>
                </c:pt>
                <c:pt idx="1">
                  <c:v>9044.2826567272423</c:v>
                </c:pt>
                <c:pt idx="2">
                  <c:v>-28729.752024316462</c:v>
                </c:pt>
                <c:pt idx="3">
                  <c:v>0</c:v>
                </c:pt>
              </c:numCache>
            </c:numRef>
          </c:val>
          <c:smooth val="0"/>
          <c:extLst>
            <c:ext xmlns:c16="http://schemas.microsoft.com/office/drawing/2014/chart" uri="{C3380CC4-5D6E-409C-BE32-E72D297353CC}">
              <c16:uniqueId val="{00000002-776D-4464-8016-54405BDE977D}"/>
            </c:ext>
          </c:extLst>
        </c:ser>
        <c:ser>
          <c:idx val="3"/>
          <c:order val="3"/>
          <c:tx>
            <c:strRef>
              <c:f>SUMMARY!$A$15</c:f>
              <c:strCache>
                <c:ptCount val="1"/>
              </c:strCache>
            </c:strRef>
          </c:tx>
          <c:spPr>
            <a:ln w="28575" cap="rnd">
              <a:solidFill>
                <a:schemeClr val="accent4"/>
              </a:solidFill>
              <a:round/>
            </a:ln>
            <a:effectLst/>
          </c:spPr>
          <c:marker>
            <c:symbol val="none"/>
          </c:marker>
          <c:val>
            <c:numRef>
              <c:f>SUMMARY!$C$15:$F$15</c:f>
              <c:numCache>
                <c:formatCode>"$"#,##0_);[Red]\("$"#,##0\)</c:formatCode>
                <c:ptCount val="4"/>
                <c:pt idx="0">
                  <c:v>48307.868345454568</c:v>
                </c:pt>
                <c:pt idx="1">
                  <c:v>49314.651656727307</c:v>
                </c:pt>
                <c:pt idx="2">
                  <c:v>27201.545475683641</c:v>
                </c:pt>
                <c:pt idx="3">
                  <c:v>0</c:v>
                </c:pt>
              </c:numCache>
            </c:numRef>
          </c:val>
          <c:smooth val="0"/>
          <c:extLst>
            <c:ext xmlns:c16="http://schemas.microsoft.com/office/drawing/2014/chart" uri="{C3380CC4-5D6E-409C-BE32-E72D297353CC}">
              <c16:uniqueId val="{00000003-776D-4464-8016-54405BDE977D}"/>
            </c:ext>
          </c:extLst>
        </c:ser>
        <c:ser>
          <c:idx val="4"/>
          <c:order val="4"/>
          <c:tx>
            <c:strRef>
              <c:f>SUMMARY!$A$18</c:f>
              <c:strCache>
                <c:ptCount val="1"/>
              </c:strCache>
            </c:strRef>
          </c:tx>
          <c:spPr>
            <a:ln w="28575" cap="rnd">
              <a:solidFill>
                <a:schemeClr val="accent5"/>
              </a:solidFill>
              <a:round/>
            </a:ln>
            <a:effectLst/>
          </c:spPr>
          <c:marker>
            <c:symbol val="none"/>
          </c:marker>
          <c:val>
            <c:numRef>
              <c:f>SUMMARY!$C$18:$F$18</c:f>
              <c:numCache>
                <c:formatCode>"$"#,##0_);[Red]\("$"#,##0\)</c:formatCode>
                <c:ptCount val="4"/>
                <c:pt idx="0">
                  <c:v>48307.868345454568</c:v>
                </c:pt>
                <c:pt idx="1">
                  <c:v>170125.75865672727</c:v>
                </c:pt>
                <c:pt idx="2">
                  <c:v>44994.537975683575</c:v>
                </c:pt>
                <c:pt idx="3">
                  <c:v>0</c:v>
                </c:pt>
              </c:numCache>
            </c:numRef>
          </c:val>
          <c:smooth val="0"/>
          <c:extLst>
            <c:ext xmlns:c16="http://schemas.microsoft.com/office/drawing/2014/chart" uri="{C3380CC4-5D6E-409C-BE32-E72D297353CC}">
              <c16:uniqueId val="{00000004-776D-4464-8016-54405BDE977D}"/>
            </c:ext>
          </c:extLst>
        </c:ser>
        <c:ser>
          <c:idx val="5"/>
          <c:order val="5"/>
          <c:tx>
            <c:strRef>
              <c:f>SUMMARY!$A$21</c:f>
              <c:strCache>
                <c:ptCount val="1"/>
              </c:strCache>
            </c:strRef>
          </c:tx>
          <c:spPr>
            <a:ln w="28575" cap="rnd">
              <a:solidFill>
                <a:schemeClr val="accent6"/>
              </a:solidFill>
              <a:round/>
            </a:ln>
            <a:effectLst/>
          </c:spPr>
          <c:marker>
            <c:symbol val="none"/>
          </c:marker>
          <c:val>
            <c:numRef>
              <c:f>SUMMARY!$C$21:$F$21</c:f>
              <c:numCache>
                <c:formatCode>"$"#,##0_);[Red]\("$"#,##0\)</c:formatCode>
                <c:ptCount val="4"/>
                <c:pt idx="0">
                  <c:v>48307.868345454568</c:v>
                </c:pt>
                <c:pt idx="1">
                  <c:v>-11945.348343272693</c:v>
                </c:pt>
                <c:pt idx="2">
                  <c:v>11351.545475683641</c:v>
                </c:pt>
                <c:pt idx="3">
                  <c:v>0</c:v>
                </c:pt>
              </c:numCache>
            </c:numRef>
          </c:val>
          <c:smooth val="0"/>
          <c:extLst>
            <c:ext xmlns:c16="http://schemas.microsoft.com/office/drawing/2014/chart" uri="{C3380CC4-5D6E-409C-BE32-E72D297353CC}">
              <c16:uniqueId val="{00000005-776D-4464-8016-54405BDE977D}"/>
            </c:ext>
          </c:extLst>
        </c:ser>
        <c:ser>
          <c:idx val="6"/>
          <c:order val="6"/>
          <c:tx>
            <c:strRef>
              <c:f>SUMMARY!$A$24</c:f>
              <c:strCache>
                <c:ptCount val="1"/>
              </c:strCache>
            </c:strRef>
          </c:tx>
          <c:spPr>
            <a:ln w="28575" cap="rnd">
              <a:solidFill>
                <a:schemeClr val="accent1">
                  <a:lumMod val="60000"/>
                </a:schemeClr>
              </a:solidFill>
              <a:round/>
            </a:ln>
            <a:effectLst/>
          </c:spPr>
          <c:marker>
            <c:symbol val="none"/>
          </c:marker>
          <c:val>
            <c:numRef>
              <c:f>SUMMARY!$C$24:$F$24</c:f>
              <c:numCache>
                <c:formatCode>"$"#,##0_);[Red]\("$"#,##0\)</c:formatCode>
                <c:ptCount val="4"/>
                <c:pt idx="0">
                  <c:v>48307.868345454568</c:v>
                </c:pt>
                <c:pt idx="1">
                  <c:v>-74272.210297818296</c:v>
                </c:pt>
                <c:pt idx="2">
                  <c:v>-116256.30112658918</c:v>
                </c:pt>
                <c:pt idx="3">
                  <c:v>-89059.2103302225</c:v>
                </c:pt>
              </c:numCache>
            </c:numRef>
          </c:val>
          <c:smooth val="0"/>
          <c:extLst>
            <c:ext xmlns:c16="http://schemas.microsoft.com/office/drawing/2014/chart" uri="{C3380CC4-5D6E-409C-BE32-E72D297353CC}">
              <c16:uniqueId val="{00000006-776D-4464-8016-54405BDE977D}"/>
            </c:ext>
          </c:extLst>
        </c:ser>
        <c:ser>
          <c:idx val="7"/>
          <c:order val="7"/>
          <c:tx>
            <c:strRef>
              <c:f>SUMMARY!$A$27</c:f>
              <c:strCache>
                <c:ptCount val="1"/>
              </c:strCache>
            </c:strRef>
          </c:tx>
          <c:spPr>
            <a:ln w="28575" cap="rnd">
              <a:solidFill>
                <a:schemeClr val="accent2">
                  <a:lumMod val="60000"/>
                </a:schemeClr>
              </a:solidFill>
              <a:round/>
            </a:ln>
            <a:effectLst/>
          </c:spPr>
          <c:marker>
            <c:symbol val="none"/>
          </c:marker>
          <c:val>
            <c:numRef>
              <c:f>SUMMARY!$C$27:$F$27</c:f>
              <c:numCache>
                <c:formatCode>"$"#,##0_);[Red]\("$"#,##0\)</c:formatCode>
                <c:ptCount val="4"/>
                <c:pt idx="0">
                  <c:v>48307.868345454568</c:v>
                </c:pt>
                <c:pt idx="1">
                  <c:v>-146203.2740358864</c:v>
                </c:pt>
                <c:pt idx="2">
                  <c:v>-191783.91805156076</c:v>
                </c:pt>
                <c:pt idx="3">
                  <c:v>-161769.87257471052</c:v>
                </c:pt>
              </c:numCache>
            </c:numRef>
          </c:val>
          <c:smooth val="0"/>
          <c:extLst>
            <c:ext xmlns:c16="http://schemas.microsoft.com/office/drawing/2014/chart" uri="{C3380CC4-5D6E-409C-BE32-E72D297353CC}">
              <c16:uniqueId val="{00000007-776D-4464-8016-54405BDE977D}"/>
            </c:ext>
          </c:extLst>
        </c:ser>
        <c:ser>
          <c:idx val="8"/>
          <c:order val="8"/>
          <c:tx>
            <c:strRef>
              <c:f>SUMMARY!$A$30</c:f>
              <c:strCache>
                <c:ptCount val="1"/>
              </c:strCache>
            </c:strRef>
          </c:tx>
          <c:spPr>
            <a:ln w="28575" cap="rnd">
              <a:solidFill>
                <a:schemeClr val="accent3">
                  <a:lumMod val="60000"/>
                </a:schemeClr>
              </a:solidFill>
              <a:round/>
            </a:ln>
            <a:effectLst/>
          </c:spPr>
          <c:marker>
            <c:symbol val="none"/>
          </c:marker>
          <c:val>
            <c:numRef>
              <c:f>SUMMARY!$C$30:$F$30</c:f>
              <c:numCache>
                <c:formatCode>"$"#,##0_);[Red]\("$"#,##0\)</c:formatCode>
                <c:ptCount val="4"/>
                <c:pt idx="0">
                  <c:v>48307.868345454568</c:v>
                </c:pt>
                <c:pt idx="1">
                  <c:v>-74272.210297818296</c:v>
                </c:pt>
                <c:pt idx="2">
                  <c:v>-116256.30112658918</c:v>
                </c:pt>
                <c:pt idx="3">
                  <c:v>-89059.2103302225</c:v>
                </c:pt>
              </c:numCache>
            </c:numRef>
          </c:val>
          <c:smooth val="0"/>
          <c:extLst>
            <c:ext xmlns:c16="http://schemas.microsoft.com/office/drawing/2014/chart" uri="{C3380CC4-5D6E-409C-BE32-E72D297353CC}">
              <c16:uniqueId val="{00000008-776D-4464-8016-54405BDE977D}"/>
            </c:ext>
          </c:extLst>
        </c:ser>
        <c:ser>
          <c:idx val="9"/>
          <c:order val="9"/>
          <c:tx>
            <c:strRef>
              <c:f>SUMMARY!$A$33</c:f>
              <c:strCache>
                <c:ptCount val="1"/>
              </c:strCache>
            </c:strRef>
          </c:tx>
          <c:spPr>
            <a:ln w="28575" cap="rnd">
              <a:solidFill>
                <a:schemeClr val="accent4">
                  <a:lumMod val="60000"/>
                </a:schemeClr>
              </a:solidFill>
              <a:round/>
            </a:ln>
            <a:effectLst/>
          </c:spPr>
          <c:marker>
            <c:symbol val="none"/>
          </c:marker>
          <c:val>
            <c:numRef>
              <c:f>SUMMARY!$C$33:$F$33</c:f>
              <c:numCache>
                <c:formatCode>"$"#,##0_);[Red]\("$"#,##0\)</c:formatCode>
                <c:ptCount val="4"/>
                <c:pt idx="0">
                  <c:v>48307.868345454568</c:v>
                </c:pt>
                <c:pt idx="1">
                  <c:v>-207463.2740358864</c:v>
                </c:pt>
                <c:pt idx="2">
                  <c:v>-207633.91805156076</c:v>
                </c:pt>
                <c:pt idx="3">
                  <c:v>-161769.87257471052</c:v>
                </c:pt>
              </c:numCache>
            </c:numRef>
          </c:val>
          <c:smooth val="0"/>
          <c:extLst>
            <c:ext xmlns:c16="http://schemas.microsoft.com/office/drawing/2014/chart" uri="{C3380CC4-5D6E-409C-BE32-E72D297353CC}">
              <c16:uniqueId val="{00000009-776D-4464-8016-54405BDE977D}"/>
            </c:ext>
          </c:extLst>
        </c:ser>
        <c:dLbls>
          <c:showLegendKey val="0"/>
          <c:showVal val="0"/>
          <c:showCatName val="0"/>
          <c:showSerName val="0"/>
          <c:showPercent val="0"/>
          <c:showBubbleSize val="0"/>
        </c:dLbls>
        <c:smooth val="0"/>
        <c:axId val="1675838592"/>
        <c:axId val="1757471248"/>
      </c:lineChart>
      <c:catAx>
        <c:axId val="1675838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757471248"/>
        <c:crosses val="autoZero"/>
        <c:auto val="1"/>
        <c:lblAlgn val="ctr"/>
        <c:lblOffset val="100"/>
        <c:noMultiLvlLbl val="0"/>
      </c:catAx>
      <c:valAx>
        <c:axId val="1757471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 Dollars</a:t>
                </a:r>
              </a:p>
            </c:rich>
          </c:tx>
          <c:layout>
            <c:manualLayout>
              <c:xMode val="edge"/>
              <c:yMode val="edge"/>
              <c:x val="1.3672663325199551E-2"/>
              <c:y val="0.465779484019915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5838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CIGRE</a:t>
            </a:r>
            <a:r>
              <a:rPr lang="en-AU" baseline="0"/>
              <a:t> Australia</a:t>
            </a:r>
            <a:br>
              <a:rPr lang="en-AU" baseline="0"/>
            </a:br>
            <a:r>
              <a:rPr lang="en-AU" baseline="0"/>
              <a:t>Forecast FY Outcomes</a:t>
            </a:r>
          </a:p>
          <a:p>
            <a:pPr>
              <a:defRPr/>
            </a:pPr>
            <a:r>
              <a:rPr lang="en-AU" baseline="0"/>
              <a:t>2020-2023</a:t>
            </a:r>
          </a:p>
          <a:p>
            <a:pPr>
              <a:defRPr/>
            </a:pPr>
            <a:r>
              <a:rPr lang="en-AU" baseline="0"/>
              <a:t>(Illustrative only, not real numbers)</a:t>
            </a:r>
          </a:p>
          <a:p>
            <a:pPr>
              <a:defRPr/>
            </a:pP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Sheet8!$C$10</c:f>
              <c:strCache>
                <c:ptCount val="1"/>
                <c:pt idx="0">
                  <c:v>Original Budget</c:v>
                </c:pt>
              </c:strCache>
            </c:strRef>
          </c:tx>
          <c:spPr>
            <a:ln w="28575" cap="rnd">
              <a:solidFill>
                <a:schemeClr val="accent1"/>
              </a:solidFill>
              <a:round/>
            </a:ln>
            <a:effectLst/>
          </c:spPr>
          <c:marker>
            <c:symbol val="none"/>
          </c:marker>
          <c:cat>
            <c:strRef>
              <c:f>Sheet8!$D$3:$G$3</c:f>
              <c:strCache>
                <c:ptCount val="4"/>
                <c:pt idx="0">
                  <c:v>Jun-20</c:v>
                </c:pt>
                <c:pt idx="1">
                  <c:v>Jun-21</c:v>
                </c:pt>
                <c:pt idx="2">
                  <c:v>Jun-22</c:v>
                </c:pt>
                <c:pt idx="3">
                  <c:v>Jun-23</c:v>
                </c:pt>
              </c:strCache>
            </c:strRef>
          </c:cat>
          <c:val>
            <c:numRef>
              <c:f>Sheet8!$D$10:$G$10</c:f>
              <c:numCache>
                <c:formatCode>_-[$$-C09]* #,##0_-;\-[$$-C09]* #,##0_-;_-[$$-C09]* "-"??_-;_-@_-</c:formatCode>
                <c:ptCount val="4"/>
                <c:pt idx="0">
                  <c:v>20146.91165454546</c:v>
                </c:pt>
                <c:pt idx="1">
                  <c:v>28002.241343272734</c:v>
                </c:pt>
                <c:pt idx="2">
                  <c:v>24695.562024316518</c:v>
                </c:pt>
                <c:pt idx="3">
                  <c:v>26588</c:v>
                </c:pt>
              </c:numCache>
            </c:numRef>
          </c:val>
          <c:smooth val="0"/>
          <c:extLst>
            <c:ext xmlns:c16="http://schemas.microsoft.com/office/drawing/2014/chart" uri="{C3380CC4-5D6E-409C-BE32-E72D297353CC}">
              <c16:uniqueId val="{00000000-2257-4721-BCDF-C7C2243A0296}"/>
            </c:ext>
          </c:extLst>
        </c:ser>
        <c:ser>
          <c:idx val="1"/>
          <c:order val="1"/>
          <c:tx>
            <c:strRef>
              <c:f>Sheet8!$C$11</c:f>
              <c:strCache>
                <c:ptCount val="1"/>
                <c:pt idx="0">
                  <c:v>Revised BASE</c:v>
                </c:pt>
              </c:strCache>
            </c:strRef>
          </c:tx>
          <c:spPr>
            <a:ln w="28575" cap="rnd">
              <a:solidFill>
                <a:schemeClr val="accent2"/>
              </a:solidFill>
              <a:round/>
            </a:ln>
            <a:effectLst/>
          </c:spPr>
          <c:marker>
            <c:symbol val="none"/>
          </c:marker>
          <c:cat>
            <c:strRef>
              <c:f>Sheet8!$D$3:$G$3</c:f>
              <c:strCache>
                <c:ptCount val="4"/>
                <c:pt idx="0">
                  <c:v>Jun-20</c:v>
                </c:pt>
                <c:pt idx="1">
                  <c:v>Jun-21</c:v>
                </c:pt>
                <c:pt idx="2">
                  <c:v>Jun-22</c:v>
                </c:pt>
                <c:pt idx="3">
                  <c:v>Jun-23</c:v>
                </c:pt>
              </c:strCache>
            </c:strRef>
          </c:cat>
          <c:val>
            <c:numRef>
              <c:f>Sheet8!$D$11:$G$11</c:f>
              <c:numCache>
                <c:formatCode>_-[$$-C09]* #,##0_-;\-[$$-C09]* #,##0_-;_-[$$-C09]* "-"??_-;_-@_-</c:formatCode>
                <c:ptCount val="4"/>
                <c:pt idx="0">
                  <c:v>68454.780000000028</c:v>
                </c:pt>
                <c:pt idx="1">
                  <c:v>16105</c:v>
                </c:pt>
                <c:pt idx="2">
                  <c:v>22364</c:v>
                </c:pt>
                <c:pt idx="3">
                  <c:v>15254</c:v>
                </c:pt>
              </c:numCache>
            </c:numRef>
          </c:val>
          <c:smooth val="0"/>
          <c:extLst>
            <c:ext xmlns:c16="http://schemas.microsoft.com/office/drawing/2014/chart" uri="{C3380CC4-5D6E-409C-BE32-E72D297353CC}">
              <c16:uniqueId val="{00000001-2257-4721-BCDF-C7C2243A0296}"/>
            </c:ext>
          </c:extLst>
        </c:ser>
        <c:ser>
          <c:idx val="2"/>
          <c:order val="2"/>
          <c:tx>
            <c:v>Paris 2021</c:v>
          </c:tx>
          <c:spPr>
            <a:ln w="28575" cap="rnd">
              <a:solidFill>
                <a:schemeClr val="accent3"/>
              </a:solidFill>
              <a:round/>
            </a:ln>
            <a:effectLst/>
          </c:spPr>
          <c:marker>
            <c:symbol val="none"/>
          </c:marker>
          <c:cat>
            <c:strRef>
              <c:f>Sheet8!$D$3:$G$3</c:f>
              <c:strCache>
                <c:ptCount val="4"/>
                <c:pt idx="0">
                  <c:v>Jun-20</c:v>
                </c:pt>
                <c:pt idx="1">
                  <c:v>Jun-21</c:v>
                </c:pt>
                <c:pt idx="2">
                  <c:v>Jun-22</c:v>
                </c:pt>
                <c:pt idx="3">
                  <c:v>Jun-23</c:v>
                </c:pt>
              </c:strCache>
            </c:strRef>
          </c:cat>
          <c:val>
            <c:numRef>
              <c:f>Sheet8!$D$21:$G$21</c:f>
              <c:numCache>
                <c:formatCode>_-[$$-C09]* #,##0_-;\-[$$-C09]* #,##0_-;_-[$$-C09]* "-"??_-;_-@_-</c:formatCode>
                <c:ptCount val="4"/>
                <c:pt idx="0">
                  <c:v>68454.780000000028</c:v>
                </c:pt>
                <c:pt idx="1">
                  <c:v>37047</c:v>
                </c:pt>
                <c:pt idx="2">
                  <c:v>1422</c:v>
                </c:pt>
                <c:pt idx="3">
                  <c:v>31250</c:v>
                </c:pt>
              </c:numCache>
            </c:numRef>
          </c:val>
          <c:smooth val="0"/>
          <c:extLst>
            <c:ext xmlns:c16="http://schemas.microsoft.com/office/drawing/2014/chart" uri="{C3380CC4-5D6E-409C-BE32-E72D297353CC}">
              <c16:uniqueId val="{00000006-2257-4721-BCDF-C7C2243A0296}"/>
            </c:ext>
          </c:extLst>
        </c:ser>
        <c:ser>
          <c:idx val="3"/>
          <c:order val="3"/>
          <c:tx>
            <c:v>Paris NO  SEAPAC</c:v>
          </c:tx>
          <c:spPr>
            <a:ln w="28575" cap="rnd">
              <a:solidFill>
                <a:schemeClr val="accent4"/>
              </a:solidFill>
              <a:round/>
            </a:ln>
            <a:effectLst/>
          </c:spPr>
          <c:marker>
            <c:symbol val="none"/>
          </c:marker>
          <c:cat>
            <c:strRef>
              <c:f>Sheet8!$D$3:$G$3</c:f>
              <c:strCache>
                <c:ptCount val="4"/>
                <c:pt idx="0">
                  <c:v>Jun-20</c:v>
                </c:pt>
                <c:pt idx="1">
                  <c:v>Jun-21</c:v>
                </c:pt>
                <c:pt idx="2">
                  <c:v>Jun-22</c:v>
                </c:pt>
                <c:pt idx="3">
                  <c:v>Jun-23</c:v>
                </c:pt>
              </c:strCache>
            </c:strRef>
          </c:cat>
          <c:val>
            <c:numRef>
              <c:f>Sheet8!$D$31:$G$31</c:f>
              <c:numCache>
                <c:formatCode>_-[$$-C09]* #,##0_-;\-[$$-C09]* #,##0_-;_-[$$-C09]* "-"??_-;_-@_-</c:formatCode>
                <c:ptCount val="4"/>
                <c:pt idx="0">
                  <c:v>68454.780000000028</c:v>
                </c:pt>
                <c:pt idx="1">
                  <c:v>-24213</c:v>
                </c:pt>
                <c:pt idx="2">
                  <c:v>1422</c:v>
                </c:pt>
                <c:pt idx="3" formatCode="General">
                  <c:v>-25896</c:v>
                </c:pt>
              </c:numCache>
            </c:numRef>
          </c:val>
          <c:smooth val="0"/>
          <c:extLst>
            <c:ext xmlns:c16="http://schemas.microsoft.com/office/drawing/2014/chart" uri="{C3380CC4-5D6E-409C-BE32-E72D297353CC}">
              <c16:uniqueId val="{00000007-2257-4721-BCDF-C7C2243A0296}"/>
            </c:ext>
          </c:extLst>
        </c:ser>
        <c:dLbls>
          <c:showLegendKey val="0"/>
          <c:showVal val="0"/>
          <c:showCatName val="0"/>
          <c:showSerName val="0"/>
          <c:showPercent val="0"/>
          <c:showBubbleSize val="0"/>
        </c:dLbls>
        <c:smooth val="0"/>
        <c:axId val="930148703"/>
        <c:axId val="798354687"/>
      </c:lineChart>
      <c:catAx>
        <c:axId val="93014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354687"/>
        <c:crosses val="autoZero"/>
        <c:auto val="1"/>
        <c:lblAlgn val="ctr"/>
        <c:lblOffset val="100"/>
        <c:noMultiLvlLbl val="0"/>
      </c:catAx>
      <c:valAx>
        <c:axId val="798354687"/>
        <c:scaling>
          <c:orientation val="minMax"/>
        </c:scaling>
        <c:delete val="0"/>
        <c:axPos val="l"/>
        <c:majorGridlines>
          <c:spPr>
            <a:ln w="9525" cap="flat" cmpd="sng" algn="ctr">
              <a:solidFill>
                <a:schemeClr val="tx1">
                  <a:lumMod val="15000"/>
                  <a:lumOff val="85000"/>
                </a:schemeClr>
              </a:solidFill>
              <a:round/>
            </a:ln>
            <a:effectLst/>
          </c:spPr>
        </c:majorGridlines>
        <c:numFmt formatCode="_-[$$-C09]* #,##0_-;\-[$$-C09]* #,##0_-;_-[$$-C09]*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0148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26670</xdr:colOff>
      <xdr:row>168</xdr:row>
      <xdr:rowOff>142875</xdr:rowOff>
    </xdr:from>
    <xdr:to>
      <xdr:col>25</xdr:col>
      <xdr:colOff>641976</xdr:colOff>
      <xdr:row>180</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656445" y="26536650"/>
          <a:ext cx="6349356"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u="none" strike="noStrike">
              <a:solidFill>
                <a:schemeClr val="dk1"/>
              </a:solidFill>
              <a:effectLst/>
              <a:latin typeface="+mn-lt"/>
              <a:ea typeface="+mn-ea"/>
              <a:cs typeface="+mn-cs"/>
            </a:rPr>
            <a:t>difference between 2016 and 2018 was primarily we had more income - increased member numbers and fees and more conferences - eg vosloo</a:t>
          </a:r>
        </a:p>
        <a:p>
          <a:endParaRPr lang="en-AU" sz="1100" b="1" i="0" u="none" strike="noStrike">
            <a:solidFill>
              <a:schemeClr val="dk1"/>
            </a:solidFill>
            <a:effectLst/>
            <a:latin typeface="+mn-lt"/>
            <a:ea typeface="+mn-ea"/>
            <a:cs typeface="+mn-cs"/>
          </a:endParaRPr>
        </a:p>
        <a:p>
          <a:r>
            <a:rPr lang="en-AU" sz="1100" b="1" i="0" u="none" strike="noStrike">
              <a:solidFill>
                <a:schemeClr val="dk1"/>
              </a:solidFill>
              <a:effectLst/>
              <a:latin typeface="+mn-lt"/>
              <a:ea typeface="+mn-ea"/>
              <a:cs typeface="+mn-cs"/>
            </a:rPr>
            <a:t>diff between 2017 and 2019 is </a:t>
          </a:r>
          <a:r>
            <a:rPr lang="en-AU"/>
            <a:t> again primarily</a:t>
          </a:r>
          <a:r>
            <a:rPr lang="en-AU" baseline="0"/>
            <a:t> revenue - more f/c income from SEAPAC ( higher rates x 120 min - 80% at early bird.</a:t>
          </a:r>
        </a:p>
        <a:p>
          <a:r>
            <a:rPr lang="en-AU" sz="1100" baseline="0"/>
            <a:t>and about $40k increase in fees due to increased numbers and rate increase</a:t>
          </a:r>
        </a:p>
        <a:p>
          <a:endParaRPr lang="en-AU" sz="1100" baseline="0"/>
        </a:p>
        <a:p>
          <a:r>
            <a:rPr lang="en-AU" sz="1100" baseline="0"/>
            <a:t>2021 is higher due to the compound revenue effect of assuming 5% member increases, no addtional workshops forecast that yr, </a:t>
          </a:r>
        </a:p>
        <a:p>
          <a:endParaRPr lang="en-AU" sz="1100"/>
        </a:p>
      </xdr:txBody>
    </xdr:sp>
    <xdr:clientData/>
  </xdr:twoCellAnchor>
  <xdr:twoCellAnchor>
    <xdr:from>
      <xdr:col>1</xdr:col>
      <xdr:colOff>9525</xdr:colOff>
      <xdr:row>1</xdr:row>
      <xdr:rowOff>0</xdr:rowOff>
    </xdr:from>
    <xdr:to>
      <xdr:col>17</xdr:col>
      <xdr:colOff>19050</xdr:colOff>
      <xdr:row>6</xdr:row>
      <xdr:rowOff>28575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525" y="161925"/>
          <a:ext cx="8820150"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a:t>Australian National</a:t>
          </a:r>
          <a:r>
            <a:rPr lang="en-AU" sz="2000" baseline="0"/>
            <a:t> Committee of CIGRE</a:t>
          </a:r>
        </a:p>
        <a:p>
          <a:pPr algn="ctr"/>
          <a:r>
            <a:rPr lang="en-AU" sz="2000" baseline="0"/>
            <a:t>Budget and Forecast </a:t>
          </a:r>
        </a:p>
        <a:p>
          <a:pPr algn="ctr"/>
          <a:r>
            <a:rPr lang="en-AU" sz="2000" baseline="0"/>
            <a:t>2019 - 2021</a:t>
          </a:r>
        </a:p>
        <a:p>
          <a:endParaRPr lang="en-AU" sz="1100"/>
        </a:p>
      </xdr:txBody>
    </xdr:sp>
    <xdr:clientData/>
  </xdr:twoCellAnchor>
  <xdr:twoCellAnchor editAs="oneCell">
    <xdr:from>
      <xdr:col>0</xdr:col>
      <xdr:colOff>0</xdr:colOff>
      <xdr:row>185</xdr:row>
      <xdr:rowOff>0</xdr:rowOff>
    </xdr:from>
    <xdr:to>
      <xdr:col>6</xdr:col>
      <xdr:colOff>581025</xdr:colOff>
      <xdr:row>237</xdr:row>
      <xdr:rowOff>142875</xdr:rowOff>
    </xdr:to>
    <xdr:pic>
      <xdr:nvPicPr>
        <xdr:cNvPr id="192" name="Picture 191">
          <a:extLst>
            <a:ext uri="{FF2B5EF4-FFF2-40B4-BE49-F238E27FC236}">
              <a16:creationId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165675"/>
          <a:ext cx="7762875" cy="875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187</xdr:row>
      <xdr:rowOff>0</xdr:rowOff>
    </xdr:from>
    <xdr:to>
      <xdr:col>6</xdr:col>
      <xdr:colOff>581025</xdr:colOff>
      <xdr:row>239</xdr:row>
      <xdr:rowOff>142875</xdr:rowOff>
    </xdr:to>
    <xdr:sp macro="" textlink="">
      <xdr:nvSpPr>
        <xdr:cNvPr id="1178" name="AutoShape 154">
          <a:extLst>
            <a:ext uri="{FF2B5EF4-FFF2-40B4-BE49-F238E27FC236}">
              <a16:creationId xmlns:a16="http://schemas.microsoft.com/office/drawing/2014/main" id="{00000000-0008-0000-0000-00009A040000}"/>
            </a:ext>
          </a:extLst>
        </xdr:cNvPr>
        <xdr:cNvSpPr>
          <a:spLocks noChangeAspect="1" noChangeArrowheads="1"/>
        </xdr:cNvSpPr>
      </xdr:nvSpPr>
      <xdr:spPr bwMode="auto">
        <a:xfrm>
          <a:off x="0" y="30489525"/>
          <a:ext cx="7762875" cy="8753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540067</xdr:colOff>
      <xdr:row>0</xdr:row>
      <xdr:rowOff>1</xdr:rowOff>
    </xdr:from>
    <xdr:to>
      <xdr:col>6</xdr:col>
      <xdr:colOff>540067</xdr:colOff>
      <xdr:row>5</xdr:row>
      <xdr:rowOff>60961</xdr:rowOff>
    </xdr:to>
    <xdr:sp macro="" textlink="">
      <xdr:nvSpPr>
        <xdr:cNvPr id="2" name="TextBox 1">
          <a:extLst>
            <a:ext uri="{FF2B5EF4-FFF2-40B4-BE49-F238E27FC236}">
              <a16:creationId xmlns:a16="http://schemas.microsoft.com/office/drawing/2014/main" id="{346F6482-0E15-4D4D-A860-76944A0D297E}"/>
            </a:ext>
          </a:extLst>
        </xdr:cNvPr>
        <xdr:cNvSpPr txBox="1"/>
      </xdr:nvSpPr>
      <xdr:spPr>
        <a:xfrm>
          <a:off x="4322444" y="1"/>
          <a:ext cx="3688080" cy="860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b="1">
              <a:solidFill>
                <a:schemeClr val="dk1"/>
              </a:solidFill>
              <a:effectLst/>
              <a:latin typeface="+mn-lt"/>
              <a:ea typeface="+mn-ea"/>
              <a:cs typeface="+mn-cs"/>
            </a:rPr>
            <a:t>Australian National</a:t>
          </a:r>
          <a:r>
            <a:rPr lang="en-AU" sz="1600" b="1" baseline="0">
              <a:solidFill>
                <a:schemeClr val="dk1"/>
              </a:solidFill>
              <a:effectLst/>
              <a:latin typeface="+mn-lt"/>
              <a:ea typeface="+mn-ea"/>
              <a:cs typeface="+mn-cs"/>
            </a:rPr>
            <a:t> Committee of CIGRE</a:t>
          </a:r>
          <a:endParaRPr lang="en-AU" sz="1600" b="1">
            <a:effectLst/>
          </a:endParaRPr>
        </a:p>
        <a:p>
          <a:pPr algn="ctr"/>
          <a:r>
            <a:rPr lang="en-AU" sz="1600" b="1" baseline="0">
              <a:solidFill>
                <a:schemeClr val="dk1"/>
              </a:solidFill>
              <a:effectLst/>
              <a:latin typeface="+mn-lt"/>
              <a:ea typeface="+mn-ea"/>
              <a:cs typeface="+mn-cs"/>
            </a:rPr>
            <a:t>Budget and Forecast </a:t>
          </a:r>
          <a:endParaRPr lang="en-AU" sz="1600" b="1">
            <a:effectLst/>
          </a:endParaRPr>
        </a:p>
        <a:p>
          <a:pPr algn="ctr"/>
          <a:r>
            <a:rPr lang="en-AU" sz="16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twoCellAnchor>
    <xdr:from>
      <xdr:col>1</xdr:col>
      <xdr:colOff>0</xdr:colOff>
      <xdr:row>1</xdr:row>
      <xdr:rowOff>0</xdr:rowOff>
    </xdr:from>
    <xdr:to>
      <xdr:col>2</xdr:col>
      <xdr:colOff>250507</xdr:colOff>
      <xdr:row>8</xdr:row>
      <xdr:rowOff>143828</xdr:rowOff>
    </xdr:to>
    <xdr:sp macro="" textlink="">
      <xdr:nvSpPr>
        <xdr:cNvPr id="3" name="TextBox 2">
          <a:extLst>
            <a:ext uri="{FF2B5EF4-FFF2-40B4-BE49-F238E27FC236}">
              <a16:creationId xmlns:a16="http://schemas.microsoft.com/office/drawing/2014/main" id="{BB378D1B-2AB4-4FEF-8AB0-32B9731E9D70}"/>
            </a:ext>
          </a:extLst>
        </xdr:cNvPr>
        <xdr:cNvSpPr txBox="1"/>
      </xdr:nvSpPr>
      <xdr:spPr>
        <a:xfrm>
          <a:off x="647700" y="160020"/>
          <a:ext cx="3381374" cy="13039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Paris Session Moved to 2021 and 2022</a:t>
          </a:r>
        </a:p>
        <a:p>
          <a:endParaRPr lang="en-AU" sz="1100" b="1"/>
        </a:p>
        <a:p>
          <a:r>
            <a:rPr lang="en-AU" sz="1100" b="1"/>
            <a:t>Revenue</a:t>
          </a:r>
          <a:r>
            <a:rPr lang="en-AU" sz="1100" b="1" baseline="0"/>
            <a:t> and expenditure associated with the Paris Session swaps years</a:t>
          </a:r>
        </a:p>
        <a:p>
          <a:r>
            <a:rPr lang="en-AU" sz="1100" b="1" baseline="0"/>
            <a:t>Assume reimbursements/Travel 75% of normal</a:t>
          </a:r>
        </a:p>
        <a:p>
          <a:r>
            <a:rPr lang="en-AU" sz="1100" b="1" baseline="0"/>
            <a:t>NO SEAPAC or CIDER event Held</a:t>
          </a:r>
          <a:endParaRPr lang="en-AU"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593407</xdr:colOff>
      <xdr:row>0</xdr:row>
      <xdr:rowOff>130492</xdr:rowOff>
    </xdr:from>
    <xdr:to>
      <xdr:col>6</xdr:col>
      <xdr:colOff>593407</xdr:colOff>
      <xdr:row>6</xdr:row>
      <xdr:rowOff>91440</xdr:rowOff>
    </xdr:to>
    <xdr:sp macro="" textlink="">
      <xdr:nvSpPr>
        <xdr:cNvPr id="2" name="TextBox 1">
          <a:extLst>
            <a:ext uri="{FF2B5EF4-FFF2-40B4-BE49-F238E27FC236}">
              <a16:creationId xmlns:a16="http://schemas.microsoft.com/office/drawing/2014/main" id="{474BFE3E-D0EC-4C49-AA3E-6F1BBE313FBE}"/>
            </a:ext>
          </a:extLst>
        </xdr:cNvPr>
        <xdr:cNvSpPr txBox="1"/>
      </xdr:nvSpPr>
      <xdr:spPr>
        <a:xfrm>
          <a:off x="4371974" y="131444"/>
          <a:ext cx="3688080" cy="9591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a:solidFill>
                <a:schemeClr val="dk1"/>
              </a:solidFill>
              <a:effectLst/>
              <a:latin typeface="+mn-lt"/>
              <a:ea typeface="+mn-ea"/>
              <a:cs typeface="+mn-cs"/>
            </a:rPr>
            <a:t>Australian National</a:t>
          </a:r>
          <a:r>
            <a:rPr lang="en-AU" sz="1800" b="1" baseline="0">
              <a:solidFill>
                <a:schemeClr val="dk1"/>
              </a:solidFill>
              <a:effectLst/>
              <a:latin typeface="+mn-lt"/>
              <a:ea typeface="+mn-ea"/>
              <a:cs typeface="+mn-cs"/>
            </a:rPr>
            <a:t> Committee of CIGRE</a:t>
          </a:r>
          <a:endParaRPr lang="en-AU" sz="1800" b="1">
            <a:effectLst/>
          </a:endParaRPr>
        </a:p>
        <a:p>
          <a:pPr algn="ctr"/>
          <a:r>
            <a:rPr lang="en-AU" sz="1800" b="1" baseline="0">
              <a:solidFill>
                <a:schemeClr val="dk1"/>
              </a:solidFill>
              <a:effectLst/>
              <a:latin typeface="+mn-lt"/>
              <a:ea typeface="+mn-ea"/>
              <a:cs typeface="+mn-cs"/>
            </a:rPr>
            <a:t>Budget and Forecast </a:t>
          </a:r>
          <a:endParaRPr lang="en-AU" sz="1800" b="1">
            <a:effectLst/>
          </a:endParaRPr>
        </a:p>
        <a:p>
          <a:pPr algn="ctr"/>
          <a:r>
            <a:rPr lang="en-AU" sz="18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twoCellAnchor>
    <xdr:from>
      <xdr:col>1</xdr:col>
      <xdr:colOff>30480</xdr:colOff>
      <xdr:row>1</xdr:row>
      <xdr:rowOff>60960</xdr:rowOff>
    </xdr:from>
    <xdr:to>
      <xdr:col>2</xdr:col>
      <xdr:colOff>281940</xdr:colOff>
      <xdr:row>9</xdr:row>
      <xdr:rowOff>45720</xdr:rowOff>
    </xdr:to>
    <xdr:sp macro="" textlink="">
      <xdr:nvSpPr>
        <xdr:cNvPr id="3" name="TextBox 2">
          <a:extLst>
            <a:ext uri="{FF2B5EF4-FFF2-40B4-BE49-F238E27FC236}">
              <a16:creationId xmlns:a16="http://schemas.microsoft.com/office/drawing/2014/main" id="{1F6E9F18-FCDE-4ACF-A82E-78AB1BDE2D9E}"/>
            </a:ext>
          </a:extLst>
        </xdr:cNvPr>
        <xdr:cNvSpPr txBox="1"/>
      </xdr:nvSpPr>
      <xdr:spPr>
        <a:xfrm>
          <a:off x="680085" y="220027"/>
          <a:ext cx="3382327" cy="13020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Paris Session Moved to 2021 and 2022</a:t>
          </a:r>
        </a:p>
        <a:p>
          <a:r>
            <a:rPr lang="en-AU" sz="1100" b="1"/>
            <a:t>Revenue</a:t>
          </a:r>
          <a:r>
            <a:rPr lang="en-AU" sz="1100" b="1" baseline="0"/>
            <a:t> and expenditure associated with the Paris Session swaps years</a:t>
          </a:r>
        </a:p>
        <a:p>
          <a:endParaRPr lang="en-AU" sz="1100" b="1" baseline="0"/>
        </a:p>
        <a:p>
          <a:r>
            <a:rPr lang="en-AU" sz="1100" b="1" baseline="0"/>
            <a:t>Assume drop of  5% in base membership from 2021</a:t>
          </a:r>
        </a:p>
        <a:p>
          <a:r>
            <a:rPr lang="en-AU" sz="1100" b="1" baseline="0"/>
            <a:t>Assume drop of 20% in Panel membership from 2021</a:t>
          </a:r>
          <a:endParaRPr lang="en-AU" sz="11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593407</xdr:colOff>
      <xdr:row>0</xdr:row>
      <xdr:rowOff>130492</xdr:rowOff>
    </xdr:from>
    <xdr:to>
      <xdr:col>6</xdr:col>
      <xdr:colOff>593407</xdr:colOff>
      <xdr:row>6</xdr:row>
      <xdr:rowOff>91440</xdr:rowOff>
    </xdr:to>
    <xdr:sp macro="" textlink="">
      <xdr:nvSpPr>
        <xdr:cNvPr id="2" name="TextBox 1">
          <a:extLst>
            <a:ext uri="{FF2B5EF4-FFF2-40B4-BE49-F238E27FC236}">
              <a16:creationId xmlns:a16="http://schemas.microsoft.com/office/drawing/2014/main" id="{F17128D0-4D0D-4971-85BC-9294F41A72FD}"/>
            </a:ext>
          </a:extLst>
        </xdr:cNvPr>
        <xdr:cNvSpPr txBox="1"/>
      </xdr:nvSpPr>
      <xdr:spPr>
        <a:xfrm>
          <a:off x="4371974" y="131444"/>
          <a:ext cx="3688080" cy="9591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a:solidFill>
                <a:schemeClr val="dk1"/>
              </a:solidFill>
              <a:effectLst/>
              <a:latin typeface="+mn-lt"/>
              <a:ea typeface="+mn-ea"/>
              <a:cs typeface="+mn-cs"/>
            </a:rPr>
            <a:t>Australian National</a:t>
          </a:r>
          <a:r>
            <a:rPr lang="en-AU" sz="1800" b="1" baseline="0">
              <a:solidFill>
                <a:schemeClr val="dk1"/>
              </a:solidFill>
              <a:effectLst/>
              <a:latin typeface="+mn-lt"/>
              <a:ea typeface="+mn-ea"/>
              <a:cs typeface="+mn-cs"/>
            </a:rPr>
            <a:t> Committee of CIGRE</a:t>
          </a:r>
          <a:endParaRPr lang="en-AU" sz="1800" b="1">
            <a:effectLst/>
          </a:endParaRPr>
        </a:p>
        <a:p>
          <a:pPr algn="ctr"/>
          <a:r>
            <a:rPr lang="en-AU" sz="1800" b="1" baseline="0">
              <a:solidFill>
                <a:schemeClr val="dk1"/>
              </a:solidFill>
              <a:effectLst/>
              <a:latin typeface="+mn-lt"/>
              <a:ea typeface="+mn-ea"/>
              <a:cs typeface="+mn-cs"/>
            </a:rPr>
            <a:t>Budget and Forecast </a:t>
          </a:r>
          <a:endParaRPr lang="en-AU" sz="1800" b="1">
            <a:effectLst/>
          </a:endParaRPr>
        </a:p>
        <a:p>
          <a:pPr algn="ctr"/>
          <a:r>
            <a:rPr lang="en-AU" sz="18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twoCellAnchor>
    <xdr:from>
      <xdr:col>1</xdr:col>
      <xdr:colOff>30480</xdr:colOff>
      <xdr:row>1</xdr:row>
      <xdr:rowOff>60960</xdr:rowOff>
    </xdr:from>
    <xdr:to>
      <xdr:col>2</xdr:col>
      <xdr:colOff>281940</xdr:colOff>
      <xdr:row>9</xdr:row>
      <xdr:rowOff>45720</xdr:rowOff>
    </xdr:to>
    <xdr:sp macro="" textlink="">
      <xdr:nvSpPr>
        <xdr:cNvPr id="3" name="TextBox 2">
          <a:extLst>
            <a:ext uri="{FF2B5EF4-FFF2-40B4-BE49-F238E27FC236}">
              <a16:creationId xmlns:a16="http://schemas.microsoft.com/office/drawing/2014/main" id="{04B39E86-E868-4539-A7E9-C169AC6DF007}"/>
            </a:ext>
          </a:extLst>
        </xdr:cNvPr>
        <xdr:cNvSpPr txBox="1"/>
      </xdr:nvSpPr>
      <xdr:spPr>
        <a:xfrm>
          <a:off x="680085" y="220027"/>
          <a:ext cx="3382327" cy="13020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Paris Session Moved to 2021 and 2022</a:t>
          </a:r>
        </a:p>
        <a:p>
          <a:r>
            <a:rPr lang="en-AU" sz="1100" b="1"/>
            <a:t>Revenue</a:t>
          </a:r>
          <a:r>
            <a:rPr lang="en-AU" sz="1100" b="1" baseline="0"/>
            <a:t> and expenditure associated with the Paris Session swaps years</a:t>
          </a:r>
        </a:p>
        <a:p>
          <a:endParaRPr lang="en-AU" sz="1100" b="1" baseline="0"/>
        </a:p>
        <a:p>
          <a:r>
            <a:rPr lang="en-AU" sz="1100" b="1" baseline="0"/>
            <a:t>Assume drop of  5% in base membership from 2021</a:t>
          </a:r>
        </a:p>
        <a:p>
          <a:r>
            <a:rPr lang="en-AU" sz="1100" b="1" baseline="0"/>
            <a:t>Assume drop of 50% in Panel membership from 2021</a:t>
          </a:r>
          <a:endParaRPr lang="en-AU" sz="1100"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593407</xdr:colOff>
      <xdr:row>0</xdr:row>
      <xdr:rowOff>130492</xdr:rowOff>
    </xdr:from>
    <xdr:to>
      <xdr:col>6</xdr:col>
      <xdr:colOff>593407</xdr:colOff>
      <xdr:row>6</xdr:row>
      <xdr:rowOff>91440</xdr:rowOff>
    </xdr:to>
    <xdr:sp macro="" textlink="">
      <xdr:nvSpPr>
        <xdr:cNvPr id="2" name="TextBox 1">
          <a:extLst>
            <a:ext uri="{FF2B5EF4-FFF2-40B4-BE49-F238E27FC236}">
              <a16:creationId xmlns:a16="http://schemas.microsoft.com/office/drawing/2014/main" id="{33380BDB-B33B-4E77-9B61-9F3009C9298D}"/>
            </a:ext>
          </a:extLst>
        </xdr:cNvPr>
        <xdr:cNvSpPr txBox="1"/>
      </xdr:nvSpPr>
      <xdr:spPr>
        <a:xfrm>
          <a:off x="4371974" y="131444"/>
          <a:ext cx="3688080" cy="9591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a:solidFill>
                <a:schemeClr val="dk1"/>
              </a:solidFill>
              <a:effectLst/>
              <a:latin typeface="+mn-lt"/>
              <a:ea typeface="+mn-ea"/>
              <a:cs typeface="+mn-cs"/>
            </a:rPr>
            <a:t>Australian National</a:t>
          </a:r>
          <a:r>
            <a:rPr lang="en-AU" sz="1800" b="1" baseline="0">
              <a:solidFill>
                <a:schemeClr val="dk1"/>
              </a:solidFill>
              <a:effectLst/>
              <a:latin typeface="+mn-lt"/>
              <a:ea typeface="+mn-ea"/>
              <a:cs typeface="+mn-cs"/>
            </a:rPr>
            <a:t> Committee of CIGRE</a:t>
          </a:r>
          <a:endParaRPr lang="en-AU" sz="1800" b="1">
            <a:effectLst/>
          </a:endParaRPr>
        </a:p>
        <a:p>
          <a:pPr algn="ctr"/>
          <a:r>
            <a:rPr lang="en-AU" sz="1800" b="1" baseline="0">
              <a:solidFill>
                <a:schemeClr val="dk1"/>
              </a:solidFill>
              <a:effectLst/>
              <a:latin typeface="+mn-lt"/>
              <a:ea typeface="+mn-ea"/>
              <a:cs typeface="+mn-cs"/>
            </a:rPr>
            <a:t>Budget and Forecast </a:t>
          </a:r>
          <a:endParaRPr lang="en-AU" sz="1800" b="1">
            <a:effectLst/>
          </a:endParaRPr>
        </a:p>
        <a:p>
          <a:pPr algn="ctr"/>
          <a:r>
            <a:rPr lang="en-AU" sz="18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twoCellAnchor>
    <xdr:from>
      <xdr:col>1</xdr:col>
      <xdr:colOff>40005</xdr:colOff>
      <xdr:row>1</xdr:row>
      <xdr:rowOff>31431</xdr:rowOff>
    </xdr:from>
    <xdr:to>
      <xdr:col>2</xdr:col>
      <xdr:colOff>0</xdr:colOff>
      <xdr:row>9</xdr:row>
      <xdr:rowOff>76200</xdr:rowOff>
    </xdr:to>
    <xdr:sp macro="" textlink="">
      <xdr:nvSpPr>
        <xdr:cNvPr id="3" name="TextBox 2">
          <a:extLst>
            <a:ext uri="{FF2B5EF4-FFF2-40B4-BE49-F238E27FC236}">
              <a16:creationId xmlns:a16="http://schemas.microsoft.com/office/drawing/2014/main" id="{3A6DA528-E780-4A78-979A-44B59288FF01}"/>
            </a:ext>
          </a:extLst>
        </xdr:cNvPr>
        <xdr:cNvSpPr txBox="1"/>
      </xdr:nvSpPr>
      <xdr:spPr>
        <a:xfrm>
          <a:off x="687705" y="191451"/>
          <a:ext cx="3091815" cy="13630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Paris Session Moved to 2021 and 2022</a:t>
          </a:r>
        </a:p>
        <a:p>
          <a:r>
            <a:rPr lang="en-AU" sz="1100" b="1"/>
            <a:t>Revenue</a:t>
          </a:r>
          <a:r>
            <a:rPr lang="en-AU" sz="1100" b="1" baseline="0"/>
            <a:t> and expenditure associated with the Paris Session swaps years</a:t>
          </a:r>
        </a:p>
        <a:p>
          <a:r>
            <a:rPr lang="en-AU" sz="1100" b="1" baseline="0"/>
            <a:t>Assume drop of  5% in base membership from 2021</a:t>
          </a:r>
        </a:p>
        <a:p>
          <a:r>
            <a:rPr lang="en-AU" sz="1100" b="1" baseline="0"/>
            <a:t>Assume drop of 20% in Panel membership from 2021    No SEAPAC    No CIDER</a:t>
          </a:r>
          <a:endParaRPr lang="en-AU" sz="11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593407</xdr:colOff>
      <xdr:row>0</xdr:row>
      <xdr:rowOff>130492</xdr:rowOff>
    </xdr:from>
    <xdr:to>
      <xdr:col>6</xdr:col>
      <xdr:colOff>593407</xdr:colOff>
      <xdr:row>6</xdr:row>
      <xdr:rowOff>91440</xdr:rowOff>
    </xdr:to>
    <xdr:sp macro="" textlink="">
      <xdr:nvSpPr>
        <xdr:cNvPr id="2" name="TextBox 1">
          <a:extLst>
            <a:ext uri="{FF2B5EF4-FFF2-40B4-BE49-F238E27FC236}">
              <a16:creationId xmlns:a16="http://schemas.microsoft.com/office/drawing/2014/main" id="{16693832-EC98-4729-8583-EDB04D7B6B4E}"/>
            </a:ext>
          </a:extLst>
        </xdr:cNvPr>
        <xdr:cNvSpPr txBox="1"/>
      </xdr:nvSpPr>
      <xdr:spPr>
        <a:xfrm>
          <a:off x="4371974" y="131444"/>
          <a:ext cx="3688080" cy="9591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a:solidFill>
                <a:schemeClr val="dk1"/>
              </a:solidFill>
              <a:effectLst/>
              <a:latin typeface="+mn-lt"/>
              <a:ea typeface="+mn-ea"/>
              <a:cs typeface="+mn-cs"/>
            </a:rPr>
            <a:t>Australian National</a:t>
          </a:r>
          <a:r>
            <a:rPr lang="en-AU" sz="1800" b="1" baseline="0">
              <a:solidFill>
                <a:schemeClr val="dk1"/>
              </a:solidFill>
              <a:effectLst/>
              <a:latin typeface="+mn-lt"/>
              <a:ea typeface="+mn-ea"/>
              <a:cs typeface="+mn-cs"/>
            </a:rPr>
            <a:t> Committee of CIGRE</a:t>
          </a:r>
          <a:endParaRPr lang="en-AU" sz="1800" b="1">
            <a:effectLst/>
          </a:endParaRPr>
        </a:p>
        <a:p>
          <a:pPr algn="ctr"/>
          <a:r>
            <a:rPr lang="en-AU" sz="1800" b="1" baseline="0">
              <a:solidFill>
                <a:schemeClr val="dk1"/>
              </a:solidFill>
              <a:effectLst/>
              <a:latin typeface="+mn-lt"/>
              <a:ea typeface="+mn-ea"/>
              <a:cs typeface="+mn-cs"/>
            </a:rPr>
            <a:t>Budget and Forecast </a:t>
          </a:r>
          <a:endParaRPr lang="en-AU" sz="1800" b="1">
            <a:effectLst/>
          </a:endParaRPr>
        </a:p>
        <a:p>
          <a:pPr algn="ctr"/>
          <a:r>
            <a:rPr lang="en-AU" sz="18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twoCellAnchor>
    <xdr:from>
      <xdr:col>1</xdr:col>
      <xdr:colOff>40005</xdr:colOff>
      <xdr:row>1</xdr:row>
      <xdr:rowOff>38101</xdr:rowOff>
    </xdr:from>
    <xdr:to>
      <xdr:col>2</xdr:col>
      <xdr:colOff>0</xdr:colOff>
      <xdr:row>9</xdr:row>
      <xdr:rowOff>60961</xdr:rowOff>
    </xdr:to>
    <xdr:sp macro="" textlink="">
      <xdr:nvSpPr>
        <xdr:cNvPr id="3" name="TextBox 2">
          <a:extLst>
            <a:ext uri="{FF2B5EF4-FFF2-40B4-BE49-F238E27FC236}">
              <a16:creationId xmlns:a16="http://schemas.microsoft.com/office/drawing/2014/main" id="{277BFA61-C736-49E9-83E7-DCDFCBE6C3DB}"/>
            </a:ext>
          </a:extLst>
        </xdr:cNvPr>
        <xdr:cNvSpPr txBox="1"/>
      </xdr:nvSpPr>
      <xdr:spPr>
        <a:xfrm>
          <a:off x="687705" y="198121"/>
          <a:ext cx="3091815" cy="1341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Paris Session Moved to 2021 and 2022</a:t>
          </a:r>
        </a:p>
        <a:p>
          <a:r>
            <a:rPr lang="en-AU" sz="1100" b="1"/>
            <a:t>Revenue</a:t>
          </a:r>
          <a:r>
            <a:rPr lang="en-AU" sz="1100" b="1" baseline="0"/>
            <a:t> and expenditure associated with the Paris Session swaps years</a:t>
          </a:r>
        </a:p>
        <a:p>
          <a:r>
            <a:rPr lang="en-AU" sz="1100" b="1" baseline="0"/>
            <a:t>Assume drop of  5% in base membership from 2021</a:t>
          </a:r>
        </a:p>
        <a:p>
          <a:r>
            <a:rPr lang="en-AU" sz="1100" b="1" baseline="0"/>
            <a:t>Assume drop of 50% in Panel membership from 2021     No SEAPAC    No CIDER</a:t>
          </a:r>
          <a:endParaRPr lang="en-AU" sz="1100"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5714</xdr:colOff>
      <xdr:row>2</xdr:row>
      <xdr:rowOff>0</xdr:rowOff>
    </xdr:from>
    <xdr:to>
      <xdr:col>16</xdr:col>
      <xdr:colOff>46672</xdr:colOff>
      <xdr:row>17</xdr:row>
      <xdr:rowOff>82867</xdr:rowOff>
    </xdr:to>
    <xdr:graphicFrame macro="">
      <xdr:nvGraphicFramePr>
        <xdr:cNvPr id="2" name="Chart 1">
          <a:extLst>
            <a:ext uri="{FF2B5EF4-FFF2-40B4-BE49-F238E27FC236}">
              <a16:creationId xmlns:a16="http://schemas.microsoft.com/office/drawing/2014/main" id="{E6E2FC18-7F22-4A64-8E16-5949DB21FC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0</xdr:row>
      <xdr:rowOff>133350</xdr:rowOff>
    </xdr:from>
    <xdr:to>
      <xdr:col>6</xdr:col>
      <xdr:colOff>0</xdr:colOff>
      <xdr:row>5</xdr:row>
      <xdr:rowOff>257175</xdr:rowOff>
    </xdr:to>
    <xdr:sp macro="" textlink="">
      <xdr:nvSpPr>
        <xdr:cNvPr id="2" name="TextBox 1">
          <a:extLst>
            <a:ext uri="{FF2B5EF4-FFF2-40B4-BE49-F238E27FC236}">
              <a16:creationId xmlns:a16="http://schemas.microsoft.com/office/drawing/2014/main" id="{BEDF7698-2127-42A2-A4FB-F3DC82180DDE}"/>
            </a:ext>
          </a:extLst>
        </xdr:cNvPr>
        <xdr:cNvSpPr txBox="1"/>
      </xdr:nvSpPr>
      <xdr:spPr>
        <a:xfrm>
          <a:off x="3779520" y="137160"/>
          <a:ext cx="3688080" cy="922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a:solidFill>
                <a:schemeClr val="dk1"/>
              </a:solidFill>
              <a:effectLst/>
              <a:latin typeface="+mn-lt"/>
              <a:ea typeface="+mn-ea"/>
              <a:cs typeface="+mn-cs"/>
            </a:rPr>
            <a:t>Australian National</a:t>
          </a:r>
          <a:r>
            <a:rPr lang="en-AU" sz="1800" b="1" baseline="0">
              <a:solidFill>
                <a:schemeClr val="dk1"/>
              </a:solidFill>
              <a:effectLst/>
              <a:latin typeface="+mn-lt"/>
              <a:ea typeface="+mn-ea"/>
              <a:cs typeface="+mn-cs"/>
            </a:rPr>
            <a:t> Committee of CIGRE</a:t>
          </a:r>
          <a:endParaRPr lang="en-AU" sz="1800" b="1">
            <a:effectLst/>
          </a:endParaRPr>
        </a:p>
        <a:p>
          <a:pPr algn="ctr"/>
          <a:r>
            <a:rPr lang="en-AU" sz="1800" b="1" baseline="0">
              <a:solidFill>
                <a:schemeClr val="dk1"/>
              </a:solidFill>
              <a:effectLst/>
              <a:latin typeface="+mn-lt"/>
              <a:ea typeface="+mn-ea"/>
              <a:cs typeface="+mn-cs"/>
            </a:rPr>
            <a:t>Budget and Forecast </a:t>
          </a:r>
          <a:endParaRPr lang="en-AU" sz="1800" b="1">
            <a:effectLst/>
          </a:endParaRPr>
        </a:p>
        <a:p>
          <a:pPr algn="ctr"/>
          <a:r>
            <a:rPr lang="en-AU" sz="18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0</xdr:row>
      <xdr:rowOff>133350</xdr:rowOff>
    </xdr:from>
    <xdr:to>
      <xdr:col>6</xdr:col>
      <xdr:colOff>0</xdr:colOff>
      <xdr:row>5</xdr:row>
      <xdr:rowOff>257175</xdr:rowOff>
    </xdr:to>
    <xdr:sp macro="" textlink="">
      <xdr:nvSpPr>
        <xdr:cNvPr id="2" name="TextBox 1">
          <a:extLst>
            <a:ext uri="{FF2B5EF4-FFF2-40B4-BE49-F238E27FC236}">
              <a16:creationId xmlns:a16="http://schemas.microsoft.com/office/drawing/2014/main" id="{5ABE0D14-99E9-4B0A-A107-102BA20BE67C}"/>
            </a:ext>
          </a:extLst>
        </xdr:cNvPr>
        <xdr:cNvSpPr txBox="1"/>
      </xdr:nvSpPr>
      <xdr:spPr>
        <a:xfrm>
          <a:off x="3779520" y="137160"/>
          <a:ext cx="3688080" cy="922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a:solidFill>
                <a:schemeClr val="dk1"/>
              </a:solidFill>
              <a:effectLst/>
              <a:latin typeface="+mn-lt"/>
              <a:ea typeface="+mn-ea"/>
              <a:cs typeface="+mn-cs"/>
            </a:rPr>
            <a:t>Australian National</a:t>
          </a:r>
          <a:r>
            <a:rPr lang="en-AU" sz="1800" b="1" baseline="0">
              <a:solidFill>
                <a:schemeClr val="dk1"/>
              </a:solidFill>
              <a:effectLst/>
              <a:latin typeface="+mn-lt"/>
              <a:ea typeface="+mn-ea"/>
              <a:cs typeface="+mn-cs"/>
            </a:rPr>
            <a:t> Committee of CIGRE</a:t>
          </a:r>
          <a:endParaRPr lang="en-AU" sz="1800" b="1">
            <a:effectLst/>
          </a:endParaRPr>
        </a:p>
        <a:p>
          <a:pPr algn="ctr"/>
          <a:r>
            <a:rPr lang="en-AU" sz="1800" b="1" baseline="0">
              <a:solidFill>
                <a:schemeClr val="dk1"/>
              </a:solidFill>
              <a:effectLst/>
              <a:latin typeface="+mn-lt"/>
              <a:ea typeface="+mn-ea"/>
              <a:cs typeface="+mn-cs"/>
            </a:rPr>
            <a:t>Budget and Forecast </a:t>
          </a:r>
          <a:endParaRPr lang="en-AU" sz="1800" b="1">
            <a:effectLst/>
          </a:endParaRPr>
        </a:p>
        <a:p>
          <a:pPr algn="ctr"/>
          <a:r>
            <a:rPr lang="en-AU" sz="18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209550</xdr:colOff>
      <xdr:row>0</xdr:row>
      <xdr:rowOff>133350</xdr:rowOff>
    </xdr:from>
    <xdr:to>
      <xdr:col>11</xdr:col>
      <xdr:colOff>76199</xdr:colOff>
      <xdr:row>5</xdr:row>
      <xdr:rowOff>257175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648325" y="133350"/>
          <a:ext cx="5695949"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a:solidFill>
                <a:schemeClr val="dk1"/>
              </a:solidFill>
              <a:effectLst/>
              <a:latin typeface="+mn-lt"/>
              <a:ea typeface="+mn-ea"/>
              <a:cs typeface="+mn-cs"/>
            </a:rPr>
            <a:t>Australian National</a:t>
          </a:r>
          <a:r>
            <a:rPr lang="en-AU" sz="1800" b="1" baseline="0">
              <a:solidFill>
                <a:schemeClr val="dk1"/>
              </a:solidFill>
              <a:effectLst/>
              <a:latin typeface="+mn-lt"/>
              <a:ea typeface="+mn-ea"/>
              <a:cs typeface="+mn-cs"/>
            </a:rPr>
            <a:t> Committee of CIGRE</a:t>
          </a:r>
          <a:endParaRPr lang="en-AU" sz="1800" b="1">
            <a:effectLst/>
          </a:endParaRPr>
        </a:p>
        <a:p>
          <a:pPr algn="ctr"/>
          <a:r>
            <a:rPr lang="en-AU" sz="1800" b="1" baseline="0">
              <a:solidFill>
                <a:schemeClr val="dk1"/>
              </a:solidFill>
              <a:effectLst/>
              <a:latin typeface="+mn-lt"/>
              <a:ea typeface="+mn-ea"/>
              <a:cs typeface="+mn-cs"/>
            </a:rPr>
            <a:t>Budget and Forecast </a:t>
          </a:r>
          <a:endParaRPr lang="en-AU" sz="1800" b="1">
            <a:effectLst/>
          </a:endParaRPr>
        </a:p>
        <a:p>
          <a:pPr algn="ctr"/>
          <a:r>
            <a:rPr lang="en-AU" sz="18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26670</xdr:colOff>
      <xdr:row>168</xdr:row>
      <xdr:rowOff>142875</xdr:rowOff>
    </xdr:from>
    <xdr:to>
      <xdr:col>28</xdr:col>
      <xdr:colOff>641976</xdr:colOff>
      <xdr:row>180</xdr:row>
      <xdr:rowOff>66675</xdr:rowOff>
    </xdr:to>
    <xdr:sp macro="" textlink="">
      <xdr:nvSpPr>
        <xdr:cNvPr id="3" name="TextBox 2">
          <a:extLst>
            <a:ext uri="{FF2B5EF4-FFF2-40B4-BE49-F238E27FC236}">
              <a16:creationId xmlns:a16="http://schemas.microsoft.com/office/drawing/2014/main" id="{7438D171-4964-421F-B54F-855D6DFA16B1}"/>
            </a:ext>
          </a:extLst>
        </xdr:cNvPr>
        <xdr:cNvSpPr txBox="1"/>
      </xdr:nvSpPr>
      <xdr:spPr>
        <a:xfrm>
          <a:off x="18156555" y="27195780"/>
          <a:ext cx="6744643" cy="1844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u="none" strike="noStrike">
              <a:solidFill>
                <a:schemeClr val="dk1"/>
              </a:solidFill>
              <a:effectLst/>
              <a:latin typeface="+mn-lt"/>
              <a:ea typeface="+mn-ea"/>
              <a:cs typeface="+mn-cs"/>
            </a:rPr>
            <a:t>difference between 2016 and 2018 was primarily we had more income - increased member numbers and fees and more conferences - eg vosloo</a:t>
          </a:r>
        </a:p>
        <a:p>
          <a:endParaRPr lang="en-AU" sz="1100" b="1" i="0" u="none" strike="noStrike">
            <a:solidFill>
              <a:schemeClr val="dk1"/>
            </a:solidFill>
            <a:effectLst/>
            <a:latin typeface="+mn-lt"/>
            <a:ea typeface="+mn-ea"/>
            <a:cs typeface="+mn-cs"/>
          </a:endParaRPr>
        </a:p>
        <a:p>
          <a:r>
            <a:rPr lang="en-AU" sz="1100" b="1" i="0" u="none" strike="noStrike">
              <a:solidFill>
                <a:schemeClr val="dk1"/>
              </a:solidFill>
              <a:effectLst/>
              <a:latin typeface="+mn-lt"/>
              <a:ea typeface="+mn-ea"/>
              <a:cs typeface="+mn-cs"/>
            </a:rPr>
            <a:t>diff between 2017 and 2019 is </a:t>
          </a:r>
          <a:r>
            <a:rPr lang="en-AU"/>
            <a:t> again primarily</a:t>
          </a:r>
          <a:r>
            <a:rPr lang="en-AU" baseline="0"/>
            <a:t> revenue - more f/c income from SEAPAC ( higher rates x 120 min - 80% at early bird.</a:t>
          </a:r>
        </a:p>
        <a:p>
          <a:r>
            <a:rPr lang="en-AU" sz="1100" baseline="0"/>
            <a:t>and about $40k increase in fees due to increased numbers and rate increase</a:t>
          </a:r>
        </a:p>
        <a:p>
          <a:endParaRPr lang="en-AU" sz="1100" baseline="0"/>
        </a:p>
        <a:p>
          <a:r>
            <a:rPr lang="en-AU" sz="1100" baseline="0"/>
            <a:t>2021 is higher due to the compound revenue effect of assuming 5% member increases, no addtional workshops forecast that yr, </a:t>
          </a:r>
        </a:p>
        <a:p>
          <a:endParaRPr lang="en-AU" sz="1100"/>
        </a:p>
      </xdr:txBody>
    </xdr:sp>
    <xdr:clientData/>
  </xdr:twoCellAnchor>
  <xdr:twoCellAnchor>
    <xdr:from>
      <xdr:col>1</xdr:col>
      <xdr:colOff>9525</xdr:colOff>
      <xdr:row>1</xdr:row>
      <xdr:rowOff>0</xdr:rowOff>
    </xdr:from>
    <xdr:to>
      <xdr:col>20</xdr:col>
      <xdr:colOff>19050</xdr:colOff>
      <xdr:row>6</xdr:row>
      <xdr:rowOff>28575</xdr:rowOff>
    </xdr:to>
    <xdr:sp macro="" textlink="">
      <xdr:nvSpPr>
        <xdr:cNvPr id="4" name="TextBox 3">
          <a:extLst>
            <a:ext uri="{FF2B5EF4-FFF2-40B4-BE49-F238E27FC236}">
              <a16:creationId xmlns:a16="http://schemas.microsoft.com/office/drawing/2014/main" id="{399939C9-A99C-429E-B742-D034CB73E331}"/>
            </a:ext>
          </a:extLst>
        </xdr:cNvPr>
        <xdr:cNvSpPr txBox="1"/>
      </xdr:nvSpPr>
      <xdr:spPr>
        <a:xfrm>
          <a:off x="655320" y="160020"/>
          <a:ext cx="16619220" cy="1158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a:t>Australian National</a:t>
          </a:r>
          <a:r>
            <a:rPr lang="en-AU" sz="2000" baseline="0"/>
            <a:t> Committee of CIGRE</a:t>
          </a:r>
        </a:p>
        <a:p>
          <a:pPr algn="ctr"/>
          <a:r>
            <a:rPr lang="en-AU" sz="2000" baseline="0"/>
            <a:t>Budget and Forecast </a:t>
          </a:r>
        </a:p>
        <a:p>
          <a:pPr algn="ctr"/>
          <a:r>
            <a:rPr lang="en-AU" sz="2000" baseline="0"/>
            <a:t>2020 - 2023</a:t>
          </a:r>
        </a:p>
        <a:p>
          <a:endParaRPr lang="en-AU" sz="1100"/>
        </a:p>
      </xdr:txBody>
    </xdr:sp>
    <xdr:clientData/>
  </xdr:twoCellAnchor>
  <xdr:twoCellAnchor editAs="oneCell">
    <xdr:from>
      <xdr:col>0</xdr:col>
      <xdr:colOff>0</xdr:colOff>
      <xdr:row>183</xdr:row>
      <xdr:rowOff>152400</xdr:rowOff>
    </xdr:from>
    <xdr:to>
      <xdr:col>6</xdr:col>
      <xdr:colOff>595253</xdr:colOff>
      <xdr:row>238</xdr:row>
      <xdr:rowOff>22801</xdr:rowOff>
    </xdr:to>
    <xdr:pic>
      <xdr:nvPicPr>
        <xdr:cNvPr id="5" name="Picture 4">
          <a:extLst>
            <a:ext uri="{FF2B5EF4-FFF2-40B4-BE49-F238E27FC236}">
              <a16:creationId xmlns:a16="http://schemas.microsoft.com/office/drawing/2014/main" id="{FF2C691A-DDEE-4E7A-9759-4911E7008E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657040"/>
          <a:ext cx="8283835" cy="8855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187</xdr:row>
      <xdr:rowOff>0</xdr:rowOff>
    </xdr:from>
    <xdr:to>
      <xdr:col>6</xdr:col>
      <xdr:colOff>596206</xdr:colOff>
      <xdr:row>241</xdr:row>
      <xdr:rowOff>24706</xdr:rowOff>
    </xdr:to>
    <xdr:sp macro="" textlink="">
      <xdr:nvSpPr>
        <xdr:cNvPr id="6" name="AutoShape 154">
          <a:extLst>
            <a:ext uri="{FF2B5EF4-FFF2-40B4-BE49-F238E27FC236}">
              <a16:creationId xmlns:a16="http://schemas.microsoft.com/office/drawing/2014/main" id="{4E73B1A1-EE8D-4C09-AA54-56029D9E6995}"/>
            </a:ext>
          </a:extLst>
        </xdr:cNvPr>
        <xdr:cNvSpPr>
          <a:spLocks noChangeAspect="1" noChangeArrowheads="1"/>
        </xdr:cNvSpPr>
      </xdr:nvSpPr>
      <xdr:spPr bwMode="auto">
        <a:xfrm>
          <a:off x="0" y="30144720"/>
          <a:ext cx="8267700" cy="86563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37</xdr:row>
      <xdr:rowOff>0</xdr:rowOff>
    </xdr:from>
    <xdr:to>
      <xdr:col>12</xdr:col>
      <xdr:colOff>0</xdr:colOff>
      <xdr:row>59</xdr:row>
      <xdr:rowOff>38100</xdr:rowOff>
    </xdr:to>
    <xdr:graphicFrame macro="">
      <xdr:nvGraphicFramePr>
        <xdr:cNvPr id="4" name="Chart 3">
          <a:extLst>
            <a:ext uri="{FF2B5EF4-FFF2-40B4-BE49-F238E27FC236}">
              <a16:creationId xmlns:a16="http://schemas.microsoft.com/office/drawing/2014/main" id="{648A2468-9FC7-421B-A243-DC8228BB4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133350</xdr:rowOff>
    </xdr:from>
    <xdr:to>
      <xdr:col>6</xdr:col>
      <xdr:colOff>0</xdr:colOff>
      <xdr:row>5</xdr:row>
      <xdr:rowOff>257175</xdr:rowOff>
    </xdr:to>
    <xdr:sp macro="" textlink="">
      <xdr:nvSpPr>
        <xdr:cNvPr id="2" name="TextBox 1">
          <a:extLst>
            <a:ext uri="{FF2B5EF4-FFF2-40B4-BE49-F238E27FC236}">
              <a16:creationId xmlns:a16="http://schemas.microsoft.com/office/drawing/2014/main" id="{EDD746CB-E06B-4A6C-BAD1-C3A27ADBC829}"/>
            </a:ext>
          </a:extLst>
        </xdr:cNvPr>
        <xdr:cNvSpPr txBox="1"/>
      </xdr:nvSpPr>
      <xdr:spPr>
        <a:xfrm>
          <a:off x="3779520" y="137160"/>
          <a:ext cx="3688080" cy="922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a:solidFill>
                <a:schemeClr val="dk1"/>
              </a:solidFill>
              <a:effectLst/>
              <a:latin typeface="+mn-lt"/>
              <a:ea typeface="+mn-ea"/>
              <a:cs typeface="+mn-cs"/>
            </a:rPr>
            <a:t>Australian National</a:t>
          </a:r>
          <a:r>
            <a:rPr lang="en-AU" sz="1800" b="1" baseline="0">
              <a:solidFill>
                <a:schemeClr val="dk1"/>
              </a:solidFill>
              <a:effectLst/>
              <a:latin typeface="+mn-lt"/>
              <a:ea typeface="+mn-ea"/>
              <a:cs typeface="+mn-cs"/>
            </a:rPr>
            <a:t> Committee of CIGRE</a:t>
          </a:r>
          <a:endParaRPr lang="en-AU" sz="1800" b="1">
            <a:effectLst/>
          </a:endParaRPr>
        </a:p>
        <a:p>
          <a:pPr algn="ctr"/>
          <a:r>
            <a:rPr lang="en-AU" sz="1800" b="1" baseline="0">
              <a:solidFill>
                <a:schemeClr val="dk1"/>
              </a:solidFill>
              <a:effectLst/>
              <a:latin typeface="+mn-lt"/>
              <a:ea typeface="+mn-ea"/>
              <a:cs typeface="+mn-cs"/>
            </a:rPr>
            <a:t>Budget and Forecast </a:t>
          </a:r>
          <a:endParaRPr lang="en-AU" sz="1800" b="1">
            <a:effectLst/>
          </a:endParaRPr>
        </a:p>
        <a:p>
          <a:pPr algn="ctr"/>
          <a:r>
            <a:rPr lang="en-AU" sz="18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twoCellAnchor>
    <xdr:from>
      <xdr:col>1</xdr:col>
      <xdr:colOff>61801</xdr:colOff>
      <xdr:row>1</xdr:row>
      <xdr:rowOff>68859</xdr:rowOff>
    </xdr:from>
    <xdr:to>
      <xdr:col>1</xdr:col>
      <xdr:colOff>2872741</xdr:colOff>
      <xdr:row>5</xdr:row>
      <xdr:rowOff>21739</xdr:rowOff>
    </xdr:to>
    <xdr:sp macro="" textlink="">
      <xdr:nvSpPr>
        <xdr:cNvPr id="3" name="TextBox 2">
          <a:extLst>
            <a:ext uri="{FF2B5EF4-FFF2-40B4-BE49-F238E27FC236}">
              <a16:creationId xmlns:a16="http://schemas.microsoft.com/office/drawing/2014/main" id="{705E3D22-FB78-4813-B51D-A383F80A2477}"/>
            </a:ext>
          </a:extLst>
        </xdr:cNvPr>
        <xdr:cNvSpPr txBox="1"/>
      </xdr:nvSpPr>
      <xdr:spPr>
        <a:xfrm>
          <a:off x="709501" y="228879"/>
          <a:ext cx="2810940" cy="59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Base Origina</a:t>
          </a:r>
          <a:r>
            <a:rPr lang="en-AU" sz="1100" baseline="0"/>
            <a:t>l Budget with adjustments to reflect YTD  results and eOY forecast as at end March 2020</a:t>
          </a:r>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133350</xdr:rowOff>
    </xdr:from>
    <xdr:to>
      <xdr:col>6</xdr:col>
      <xdr:colOff>0</xdr:colOff>
      <xdr:row>5</xdr:row>
      <xdr:rowOff>257175</xdr:rowOff>
    </xdr:to>
    <xdr:sp macro="" textlink="">
      <xdr:nvSpPr>
        <xdr:cNvPr id="2" name="TextBox 1">
          <a:extLst>
            <a:ext uri="{FF2B5EF4-FFF2-40B4-BE49-F238E27FC236}">
              <a16:creationId xmlns:a16="http://schemas.microsoft.com/office/drawing/2014/main" id="{FD3B20C6-2DBE-4FA7-99CF-D704983574E3}"/>
            </a:ext>
          </a:extLst>
        </xdr:cNvPr>
        <xdr:cNvSpPr txBox="1"/>
      </xdr:nvSpPr>
      <xdr:spPr>
        <a:xfrm>
          <a:off x="6029325" y="133350"/>
          <a:ext cx="6105524"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a:solidFill>
                <a:schemeClr val="dk1"/>
              </a:solidFill>
              <a:effectLst/>
              <a:latin typeface="+mn-lt"/>
              <a:ea typeface="+mn-ea"/>
              <a:cs typeface="+mn-cs"/>
            </a:rPr>
            <a:t>Australian National</a:t>
          </a:r>
          <a:r>
            <a:rPr lang="en-AU" sz="1800" b="1" baseline="0">
              <a:solidFill>
                <a:schemeClr val="dk1"/>
              </a:solidFill>
              <a:effectLst/>
              <a:latin typeface="+mn-lt"/>
              <a:ea typeface="+mn-ea"/>
              <a:cs typeface="+mn-cs"/>
            </a:rPr>
            <a:t> Committee of CIGRE</a:t>
          </a:r>
          <a:endParaRPr lang="en-AU" sz="1800" b="1">
            <a:effectLst/>
          </a:endParaRPr>
        </a:p>
        <a:p>
          <a:pPr algn="ctr"/>
          <a:r>
            <a:rPr lang="en-AU" sz="1800" b="1" baseline="0">
              <a:solidFill>
                <a:schemeClr val="dk1"/>
              </a:solidFill>
              <a:effectLst/>
              <a:latin typeface="+mn-lt"/>
              <a:ea typeface="+mn-ea"/>
              <a:cs typeface="+mn-cs"/>
            </a:rPr>
            <a:t>Budget and Forecast </a:t>
          </a:r>
          <a:endParaRPr lang="en-AU" sz="1800" b="1">
            <a:effectLst/>
          </a:endParaRPr>
        </a:p>
        <a:p>
          <a:pPr algn="ctr"/>
          <a:r>
            <a:rPr lang="en-AU" sz="18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twoCellAnchor>
    <xdr:from>
      <xdr:col>1</xdr:col>
      <xdr:colOff>61800</xdr:colOff>
      <xdr:row>1</xdr:row>
      <xdr:rowOff>68859</xdr:rowOff>
    </xdr:from>
    <xdr:to>
      <xdr:col>1</xdr:col>
      <xdr:colOff>3039035</xdr:colOff>
      <xdr:row>5</xdr:row>
      <xdr:rowOff>21739</xdr:rowOff>
    </xdr:to>
    <xdr:sp macro="" textlink="">
      <xdr:nvSpPr>
        <xdr:cNvPr id="6" name="TextBox 5">
          <a:extLst>
            <a:ext uri="{FF2B5EF4-FFF2-40B4-BE49-F238E27FC236}">
              <a16:creationId xmlns:a16="http://schemas.microsoft.com/office/drawing/2014/main" id="{CC64E5E6-447E-40D9-B28C-00293CD20D80}"/>
            </a:ext>
          </a:extLst>
        </xdr:cNvPr>
        <xdr:cNvSpPr txBox="1"/>
      </xdr:nvSpPr>
      <xdr:spPr>
        <a:xfrm>
          <a:off x="707259" y="230224"/>
          <a:ext cx="2977235" cy="598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Base Origina</a:t>
          </a:r>
          <a:r>
            <a:rPr lang="en-AU" sz="1100" baseline="0"/>
            <a:t>l Budget with adjustments to reflect YTD  results and eOY forecast as at end March 2020</a:t>
          </a:r>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593407</xdr:colOff>
      <xdr:row>0</xdr:row>
      <xdr:rowOff>130492</xdr:rowOff>
    </xdr:from>
    <xdr:to>
      <xdr:col>6</xdr:col>
      <xdr:colOff>593407</xdr:colOff>
      <xdr:row>6</xdr:row>
      <xdr:rowOff>91440</xdr:rowOff>
    </xdr:to>
    <xdr:sp macro="" textlink="">
      <xdr:nvSpPr>
        <xdr:cNvPr id="2" name="TextBox 1">
          <a:extLst>
            <a:ext uri="{FF2B5EF4-FFF2-40B4-BE49-F238E27FC236}">
              <a16:creationId xmlns:a16="http://schemas.microsoft.com/office/drawing/2014/main" id="{61D4ECB0-BC36-4DD6-A3AE-018245139730}"/>
            </a:ext>
          </a:extLst>
        </xdr:cNvPr>
        <xdr:cNvSpPr txBox="1"/>
      </xdr:nvSpPr>
      <xdr:spPr>
        <a:xfrm>
          <a:off x="4372927" y="130492"/>
          <a:ext cx="3688080" cy="1248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800" b="1">
              <a:solidFill>
                <a:schemeClr val="dk1"/>
              </a:solidFill>
              <a:effectLst/>
              <a:latin typeface="+mn-lt"/>
              <a:ea typeface="+mn-ea"/>
              <a:cs typeface="+mn-cs"/>
            </a:rPr>
            <a:t>Australian National</a:t>
          </a:r>
          <a:r>
            <a:rPr lang="en-AU" sz="1800" b="1" baseline="0">
              <a:solidFill>
                <a:schemeClr val="dk1"/>
              </a:solidFill>
              <a:effectLst/>
              <a:latin typeface="+mn-lt"/>
              <a:ea typeface="+mn-ea"/>
              <a:cs typeface="+mn-cs"/>
            </a:rPr>
            <a:t> Committee of CIGRE</a:t>
          </a:r>
          <a:endParaRPr lang="en-AU" sz="1800" b="1">
            <a:effectLst/>
          </a:endParaRPr>
        </a:p>
        <a:p>
          <a:pPr algn="ctr"/>
          <a:r>
            <a:rPr lang="en-AU" sz="1800" b="1" baseline="0">
              <a:solidFill>
                <a:schemeClr val="dk1"/>
              </a:solidFill>
              <a:effectLst/>
              <a:latin typeface="+mn-lt"/>
              <a:ea typeface="+mn-ea"/>
              <a:cs typeface="+mn-cs"/>
            </a:rPr>
            <a:t>Budget and Forecast </a:t>
          </a:r>
          <a:endParaRPr lang="en-AU" sz="1800" b="1">
            <a:effectLst/>
          </a:endParaRPr>
        </a:p>
        <a:p>
          <a:pPr algn="ctr"/>
          <a:r>
            <a:rPr lang="en-AU" sz="18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twoCellAnchor>
    <xdr:from>
      <xdr:col>1</xdr:col>
      <xdr:colOff>30480</xdr:colOff>
      <xdr:row>1</xdr:row>
      <xdr:rowOff>60960</xdr:rowOff>
    </xdr:from>
    <xdr:to>
      <xdr:col>2</xdr:col>
      <xdr:colOff>281940</xdr:colOff>
      <xdr:row>9</xdr:row>
      <xdr:rowOff>45720</xdr:rowOff>
    </xdr:to>
    <xdr:sp macro="" textlink="">
      <xdr:nvSpPr>
        <xdr:cNvPr id="3" name="TextBox 2">
          <a:extLst>
            <a:ext uri="{FF2B5EF4-FFF2-40B4-BE49-F238E27FC236}">
              <a16:creationId xmlns:a16="http://schemas.microsoft.com/office/drawing/2014/main" id="{1F87A804-0065-42B7-9AF0-37D29CB1FA77}"/>
            </a:ext>
          </a:extLst>
        </xdr:cNvPr>
        <xdr:cNvSpPr txBox="1"/>
      </xdr:nvSpPr>
      <xdr:spPr>
        <a:xfrm>
          <a:off x="678180" y="220980"/>
          <a:ext cx="3383280" cy="1303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Paris Session Moved to 2021 and 2022</a:t>
          </a:r>
        </a:p>
        <a:p>
          <a:r>
            <a:rPr lang="en-AU" sz="1100" b="1"/>
            <a:t>NO Other changes - Revenue</a:t>
          </a:r>
          <a:r>
            <a:rPr lang="en-AU" sz="1100" b="1" baseline="0"/>
            <a:t> and expenditure associated with the Paris Session swaps years</a:t>
          </a:r>
          <a:endParaRPr lang="en-AU"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540067</xdr:colOff>
      <xdr:row>0</xdr:row>
      <xdr:rowOff>1</xdr:rowOff>
    </xdr:from>
    <xdr:to>
      <xdr:col>6</xdr:col>
      <xdr:colOff>540067</xdr:colOff>
      <xdr:row>5</xdr:row>
      <xdr:rowOff>60961</xdr:rowOff>
    </xdr:to>
    <xdr:sp macro="" textlink="">
      <xdr:nvSpPr>
        <xdr:cNvPr id="4" name="TextBox 3">
          <a:extLst>
            <a:ext uri="{FF2B5EF4-FFF2-40B4-BE49-F238E27FC236}">
              <a16:creationId xmlns:a16="http://schemas.microsoft.com/office/drawing/2014/main" id="{14022A78-1056-4EEC-A61E-330DA7681908}"/>
            </a:ext>
          </a:extLst>
        </xdr:cNvPr>
        <xdr:cNvSpPr txBox="1"/>
      </xdr:nvSpPr>
      <xdr:spPr>
        <a:xfrm>
          <a:off x="4319587" y="1"/>
          <a:ext cx="3688080" cy="861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b="1">
              <a:solidFill>
                <a:schemeClr val="dk1"/>
              </a:solidFill>
              <a:effectLst/>
              <a:latin typeface="+mn-lt"/>
              <a:ea typeface="+mn-ea"/>
              <a:cs typeface="+mn-cs"/>
            </a:rPr>
            <a:t>Australian National</a:t>
          </a:r>
          <a:r>
            <a:rPr lang="en-AU" sz="1600" b="1" baseline="0">
              <a:solidFill>
                <a:schemeClr val="dk1"/>
              </a:solidFill>
              <a:effectLst/>
              <a:latin typeface="+mn-lt"/>
              <a:ea typeface="+mn-ea"/>
              <a:cs typeface="+mn-cs"/>
            </a:rPr>
            <a:t> Committee of CIGRE</a:t>
          </a:r>
          <a:endParaRPr lang="en-AU" sz="1600" b="1">
            <a:effectLst/>
          </a:endParaRPr>
        </a:p>
        <a:p>
          <a:pPr algn="ctr"/>
          <a:r>
            <a:rPr lang="en-AU" sz="1600" b="1" baseline="0">
              <a:solidFill>
                <a:schemeClr val="dk1"/>
              </a:solidFill>
              <a:effectLst/>
              <a:latin typeface="+mn-lt"/>
              <a:ea typeface="+mn-ea"/>
              <a:cs typeface="+mn-cs"/>
            </a:rPr>
            <a:t>Budget and Forecast </a:t>
          </a:r>
          <a:endParaRPr lang="en-AU" sz="1600" b="1">
            <a:effectLst/>
          </a:endParaRPr>
        </a:p>
        <a:p>
          <a:pPr algn="ctr"/>
          <a:r>
            <a:rPr lang="en-AU" sz="16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twoCellAnchor>
    <xdr:from>
      <xdr:col>1</xdr:col>
      <xdr:colOff>0</xdr:colOff>
      <xdr:row>1</xdr:row>
      <xdr:rowOff>0</xdr:rowOff>
    </xdr:from>
    <xdr:to>
      <xdr:col>2</xdr:col>
      <xdr:colOff>250507</xdr:colOff>
      <xdr:row>8</xdr:row>
      <xdr:rowOff>143828</xdr:rowOff>
    </xdr:to>
    <xdr:sp macro="" textlink="">
      <xdr:nvSpPr>
        <xdr:cNvPr id="5" name="TextBox 4">
          <a:extLst>
            <a:ext uri="{FF2B5EF4-FFF2-40B4-BE49-F238E27FC236}">
              <a16:creationId xmlns:a16="http://schemas.microsoft.com/office/drawing/2014/main" id="{4BE7F578-9A6F-469A-9EA7-C4C910E6FE88}"/>
            </a:ext>
          </a:extLst>
        </xdr:cNvPr>
        <xdr:cNvSpPr txBox="1"/>
      </xdr:nvSpPr>
      <xdr:spPr>
        <a:xfrm>
          <a:off x="647700" y="160020"/>
          <a:ext cx="3382327" cy="13020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Paris Session Moved to 2021 and 2022</a:t>
          </a:r>
        </a:p>
        <a:p>
          <a:endParaRPr lang="en-AU" sz="1100" b="1"/>
        </a:p>
        <a:p>
          <a:r>
            <a:rPr lang="en-AU" sz="1100" b="1"/>
            <a:t>Revenue</a:t>
          </a:r>
          <a:r>
            <a:rPr lang="en-AU" sz="1100" b="1" baseline="0"/>
            <a:t> and expenditure associated with the Paris Session swaps years</a:t>
          </a:r>
        </a:p>
        <a:p>
          <a:r>
            <a:rPr lang="en-AU" sz="1100" b="1" baseline="0"/>
            <a:t>Assume reimbursements/Travel 75% of normal</a:t>
          </a:r>
          <a:endParaRPr lang="en-AU"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540067</xdr:colOff>
      <xdr:row>0</xdr:row>
      <xdr:rowOff>1</xdr:rowOff>
    </xdr:from>
    <xdr:to>
      <xdr:col>6</xdr:col>
      <xdr:colOff>540067</xdr:colOff>
      <xdr:row>5</xdr:row>
      <xdr:rowOff>60961</xdr:rowOff>
    </xdr:to>
    <xdr:sp macro="" textlink="">
      <xdr:nvSpPr>
        <xdr:cNvPr id="2" name="TextBox 1">
          <a:extLst>
            <a:ext uri="{FF2B5EF4-FFF2-40B4-BE49-F238E27FC236}">
              <a16:creationId xmlns:a16="http://schemas.microsoft.com/office/drawing/2014/main" id="{B9DD291A-788D-497C-BED7-AE00E4D466A6}"/>
            </a:ext>
          </a:extLst>
        </xdr:cNvPr>
        <xdr:cNvSpPr txBox="1"/>
      </xdr:nvSpPr>
      <xdr:spPr>
        <a:xfrm>
          <a:off x="4322444" y="1"/>
          <a:ext cx="3688080" cy="860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b="1">
              <a:solidFill>
                <a:schemeClr val="dk1"/>
              </a:solidFill>
              <a:effectLst/>
              <a:latin typeface="+mn-lt"/>
              <a:ea typeface="+mn-ea"/>
              <a:cs typeface="+mn-cs"/>
            </a:rPr>
            <a:t>Australian National</a:t>
          </a:r>
          <a:r>
            <a:rPr lang="en-AU" sz="1600" b="1" baseline="0">
              <a:solidFill>
                <a:schemeClr val="dk1"/>
              </a:solidFill>
              <a:effectLst/>
              <a:latin typeface="+mn-lt"/>
              <a:ea typeface="+mn-ea"/>
              <a:cs typeface="+mn-cs"/>
            </a:rPr>
            <a:t> Committee of CIGRE</a:t>
          </a:r>
          <a:endParaRPr lang="en-AU" sz="1600" b="1">
            <a:effectLst/>
          </a:endParaRPr>
        </a:p>
        <a:p>
          <a:pPr algn="ctr"/>
          <a:r>
            <a:rPr lang="en-AU" sz="1600" b="1" baseline="0">
              <a:solidFill>
                <a:schemeClr val="dk1"/>
              </a:solidFill>
              <a:effectLst/>
              <a:latin typeface="+mn-lt"/>
              <a:ea typeface="+mn-ea"/>
              <a:cs typeface="+mn-cs"/>
            </a:rPr>
            <a:t>Budget and Forecast </a:t>
          </a:r>
          <a:endParaRPr lang="en-AU" sz="1600" b="1">
            <a:effectLst/>
          </a:endParaRPr>
        </a:p>
        <a:p>
          <a:pPr algn="ctr"/>
          <a:r>
            <a:rPr lang="en-AU" sz="1600" b="1" baseline="0">
              <a:solidFill>
                <a:schemeClr val="dk1"/>
              </a:solidFill>
              <a:effectLst/>
              <a:latin typeface="+mn-lt"/>
              <a:ea typeface="+mn-ea"/>
              <a:cs typeface="+mn-cs"/>
            </a:rPr>
            <a:t>2020 - 2022</a:t>
          </a:r>
        </a:p>
        <a:p>
          <a:endParaRPr lang="en-AU">
            <a:effectLst/>
          </a:endParaRPr>
        </a:p>
        <a:p>
          <a:endParaRPr lang="en-AU" sz="1100"/>
        </a:p>
      </xdr:txBody>
    </xdr:sp>
    <xdr:clientData/>
  </xdr:twoCellAnchor>
  <xdr:twoCellAnchor>
    <xdr:from>
      <xdr:col>1</xdr:col>
      <xdr:colOff>0</xdr:colOff>
      <xdr:row>0</xdr:row>
      <xdr:rowOff>152400</xdr:rowOff>
    </xdr:from>
    <xdr:to>
      <xdr:col>2</xdr:col>
      <xdr:colOff>0</xdr:colOff>
      <xdr:row>8</xdr:row>
      <xdr:rowOff>138113</xdr:rowOff>
    </xdr:to>
    <xdr:sp macro="" textlink="">
      <xdr:nvSpPr>
        <xdr:cNvPr id="3" name="TextBox 2">
          <a:extLst>
            <a:ext uri="{FF2B5EF4-FFF2-40B4-BE49-F238E27FC236}">
              <a16:creationId xmlns:a16="http://schemas.microsoft.com/office/drawing/2014/main" id="{5FC0A8DA-86C8-4B85-B542-364ACD94B559}"/>
            </a:ext>
          </a:extLst>
        </xdr:cNvPr>
        <xdr:cNvSpPr txBox="1"/>
      </xdr:nvSpPr>
      <xdr:spPr>
        <a:xfrm>
          <a:off x="647700" y="152400"/>
          <a:ext cx="3131820" cy="13039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Paris Session Moved to 2021 and 2022</a:t>
          </a:r>
        </a:p>
        <a:p>
          <a:endParaRPr lang="en-AU" sz="1100" b="1"/>
        </a:p>
        <a:p>
          <a:r>
            <a:rPr lang="en-AU" sz="1100" b="1"/>
            <a:t>Revenue</a:t>
          </a:r>
          <a:r>
            <a:rPr lang="en-AU" sz="1100" b="1" baseline="0"/>
            <a:t> and expenditure associated with the Paris Session swaps years</a:t>
          </a:r>
        </a:p>
        <a:p>
          <a:r>
            <a:rPr lang="en-AU" sz="1100" b="1" baseline="0"/>
            <a:t>Assume NO reimbursements  Travel between Paris Sessions.</a:t>
          </a:r>
          <a:endParaRPr lang="en-AU"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aft%202021%20-%202023%20Budget%20Scenario%20Modelling%20%20CLEAN%20new%20lay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t  Loss"/>
      <sheetName val="Sheet2"/>
      <sheetName val="BASE - Pre CV-19"/>
      <sheetName val="SUMMARY old1"/>
      <sheetName val="SUMMARY"/>
      <sheetName val="BASE assumptions "/>
      <sheetName val="BASE Budget pre CV-19"/>
      <sheetName val="Sheet1"/>
      <sheetName val="BASE YTD adjust"/>
      <sheetName val="PS 21_22 NC"/>
      <sheetName val="PS 21_22 T75jan21"/>
      <sheetName val="PS NT jan 21"/>
      <sheetName val="PS T75 NoSPCID"/>
      <sheetName val="PS 21_22 NC mem 5 and 25"/>
      <sheetName val="PS 21_22 NC  Mem 5 and 50"/>
      <sheetName val="PS 21_22 NoSPCIS mem 5&amp; 25"/>
      <sheetName val="PS 21_22 NoSPCID memb 5 and 50"/>
      <sheetName val="Sheet8"/>
      <sheetName val="swap paris years"/>
      <sheetName val="swap Paris no SEAPAC"/>
    </sheetNames>
    <sheetDataSet>
      <sheetData sheetId="0" refreshError="1"/>
      <sheetData sheetId="1" refreshError="1"/>
      <sheetData sheetId="2">
        <row r="175">
          <cell r="I175">
            <v>20146.91165454546</v>
          </cell>
          <cell r="K175">
            <v>28002.241343272734</v>
          </cell>
          <cell r="M175">
            <v>24695.062024316518</v>
          </cell>
          <cell r="O175">
            <v>17632.107268206193</v>
          </cell>
        </row>
      </sheetData>
      <sheetData sheetId="3" refreshError="1"/>
      <sheetData sheetId="4" refreshError="1"/>
      <sheetData sheetId="5" refreshError="1"/>
      <sheetData sheetId="6" refreshError="1"/>
      <sheetData sheetId="7" refreshError="1"/>
      <sheetData sheetId="8">
        <row r="109">
          <cell r="D109">
            <v>68454.780000000028</v>
          </cell>
          <cell r="E109">
            <v>16105</v>
          </cell>
          <cell r="F109">
            <v>16908.600000000093</v>
          </cell>
          <cell r="G109">
            <v>17632.107268206193</v>
          </cell>
        </row>
      </sheetData>
      <sheetData sheetId="9">
        <row r="109">
          <cell r="D109">
            <v>68454.780000000028</v>
          </cell>
          <cell r="E109">
            <v>37046.523999999976</v>
          </cell>
          <cell r="F109">
            <v>-4034.6899999999441</v>
          </cell>
          <cell r="G109">
            <v>17632.107268206193</v>
          </cell>
        </row>
      </sheetData>
      <sheetData sheetId="10">
        <row r="109">
          <cell r="D109">
            <v>68454.780000000028</v>
          </cell>
          <cell r="E109">
            <v>77316.89300000004</v>
          </cell>
          <cell r="F109">
            <v>51896.607500000158</v>
          </cell>
          <cell r="G109">
            <v>17632.107268206193</v>
          </cell>
        </row>
      </sheetData>
      <sheetData sheetId="11">
        <row r="109">
          <cell r="D109">
            <v>68454.780000000028</v>
          </cell>
          <cell r="E109">
            <v>198128</v>
          </cell>
          <cell r="F109">
            <v>69689.600000000093</v>
          </cell>
          <cell r="G109">
            <v>17632.107268206193</v>
          </cell>
        </row>
      </sheetData>
      <sheetData sheetId="12">
        <row r="109">
          <cell r="D109">
            <v>68454.780000000028</v>
          </cell>
          <cell r="E109">
            <v>16056.89300000004</v>
          </cell>
          <cell r="F109">
            <v>36046.607500000158</v>
          </cell>
          <cell r="G109">
            <v>17632.107268206193</v>
          </cell>
        </row>
      </sheetData>
      <sheetData sheetId="13">
        <row r="109">
          <cell r="D109">
            <v>68454.780000000028</v>
          </cell>
          <cell r="E109">
            <v>-46269.968954545562</v>
          </cell>
          <cell r="F109">
            <v>-91561.239102272666</v>
          </cell>
          <cell r="G109">
            <v>-71427.103062016307</v>
          </cell>
        </row>
      </sheetData>
      <sheetData sheetId="14">
        <row r="109">
          <cell r="D109">
            <v>68454.780000000028</v>
          </cell>
          <cell r="E109">
            <v>-118201.03269261366</v>
          </cell>
          <cell r="F109">
            <v>-167088.85602724424</v>
          </cell>
          <cell r="G109">
            <v>-144137.76530650433</v>
          </cell>
        </row>
      </sheetData>
      <sheetData sheetId="15" refreshError="1"/>
      <sheetData sheetId="16">
        <row r="109">
          <cell r="D109">
            <v>68454.780000000028</v>
          </cell>
          <cell r="E109">
            <v>-179461.03269261366</v>
          </cell>
          <cell r="F109">
            <v>-182938.85602724424</v>
          </cell>
          <cell r="G109">
            <v>-144137.76530650433</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407"/>
  <sheetViews>
    <sheetView topLeftCell="A4" zoomScaleNormal="100" workbookViewId="0">
      <pane xSplit="2" ySplit="7" topLeftCell="F164" activePane="bottomRight" state="frozen"/>
      <selection activeCell="A4" sqref="A4"/>
      <selection pane="topRight" activeCell="C4" sqref="C4"/>
      <selection pane="bottomLeft" activeCell="A11" sqref="A11"/>
      <selection pane="bottomRight" activeCell="A4" sqref="A1:XFD1048576"/>
    </sheetView>
  </sheetViews>
  <sheetFormatPr defaultRowHeight="12.75" customHeight="1" x14ac:dyDescent="0.35"/>
  <cols>
    <col min="2" max="2" width="43.86328125" bestFit="1" customWidth="1"/>
    <col min="3" max="3" width="14.265625" customWidth="1"/>
    <col min="4" max="4" width="14.265625" style="34" customWidth="1"/>
    <col min="5" max="5" width="14.265625" customWidth="1"/>
    <col min="6" max="6" width="11.86328125" customWidth="1"/>
    <col min="7" max="7" width="12.265625" style="34" bestFit="1" customWidth="1"/>
    <col min="8" max="8" width="12.265625" style="34" customWidth="1"/>
    <col min="9" max="9" width="11.73046875" bestFit="1" customWidth="1"/>
    <col min="10" max="10" width="11.73046875" customWidth="1"/>
    <col min="11" max="11" width="12.265625" style="34" bestFit="1" customWidth="1"/>
    <col min="12" max="12" width="12.265625" style="34" customWidth="1"/>
    <col min="13" max="13" width="12.265625" style="69" bestFit="1" customWidth="1"/>
    <col min="14" max="17" width="12.265625" style="34" customWidth="1"/>
    <col min="18" max="27" width="12.265625" customWidth="1"/>
    <col min="29" max="29" width="11.73046875" bestFit="1" customWidth="1"/>
    <col min="30" max="30" width="17.59765625" customWidth="1"/>
    <col min="32" max="32" width="11.265625" customWidth="1"/>
    <col min="37" max="37" width="11.265625" bestFit="1" customWidth="1"/>
    <col min="38" max="38" width="13.73046875" customWidth="1"/>
    <col min="43" max="44" width="11.73046875" bestFit="1" customWidth="1"/>
    <col min="46" max="46" width="11.73046875" bestFit="1" customWidth="1"/>
    <col min="48" max="48" width="11.73046875" bestFit="1" customWidth="1"/>
  </cols>
  <sheetData>
    <row r="1" spans="1:43" ht="12.75" customHeight="1" x14ac:dyDescent="0.35">
      <c r="B1" s="52"/>
      <c r="C1" s="52"/>
      <c r="D1" s="52"/>
      <c r="E1" s="52"/>
      <c r="F1" s="52"/>
      <c r="G1" s="52"/>
      <c r="H1" s="52"/>
      <c r="I1" s="52"/>
      <c r="J1" s="52"/>
      <c r="K1" s="52"/>
      <c r="L1" s="52"/>
      <c r="M1" s="68"/>
      <c r="N1" s="52"/>
      <c r="O1" s="52"/>
      <c r="P1" s="52"/>
      <c r="Q1" s="52"/>
    </row>
    <row r="2" spans="1:43" ht="12.75" customHeight="1" x14ac:dyDescent="0.35">
      <c r="B2" s="52"/>
      <c r="C2" s="52"/>
      <c r="D2" s="52"/>
      <c r="E2" s="52"/>
      <c r="F2" s="52"/>
      <c r="G2" s="52"/>
      <c r="H2" s="52"/>
      <c r="I2" s="52"/>
      <c r="J2" s="52"/>
      <c r="K2" s="52"/>
      <c r="L2" s="52"/>
      <c r="M2" s="68"/>
      <c r="N2" s="52"/>
      <c r="O2" s="52"/>
      <c r="P2" s="52"/>
      <c r="Q2" s="52"/>
    </row>
    <row r="3" spans="1:43" ht="12.75" customHeight="1" x14ac:dyDescent="0.35">
      <c r="B3" s="52"/>
      <c r="C3" s="52"/>
      <c r="D3" s="52"/>
      <c r="E3" s="52"/>
      <c r="F3" s="52"/>
      <c r="G3" s="52"/>
      <c r="H3" s="52"/>
      <c r="I3" s="52"/>
      <c r="J3" s="52"/>
      <c r="K3" s="52"/>
      <c r="L3" s="52"/>
      <c r="M3" s="68"/>
      <c r="N3" s="52"/>
      <c r="O3" s="52"/>
      <c r="P3" s="52"/>
      <c r="Q3" s="52"/>
    </row>
    <row r="4" spans="1:43" ht="12.75" customHeight="1" x14ac:dyDescent="0.35">
      <c r="B4" s="52"/>
      <c r="C4" s="52"/>
      <c r="D4" s="52"/>
      <c r="E4" s="52"/>
      <c r="F4" s="52"/>
      <c r="G4" s="52"/>
      <c r="H4" s="52"/>
      <c r="I4" s="52"/>
      <c r="J4" s="52"/>
      <c r="K4" s="52"/>
      <c r="L4" s="52"/>
      <c r="M4" s="68"/>
      <c r="N4" s="52"/>
      <c r="O4" s="52"/>
      <c r="P4" s="52"/>
      <c r="Q4" s="52"/>
    </row>
    <row r="5" spans="1:43" ht="12.75" customHeight="1" x14ac:dyDescent="0.35">
      <c r="B5" s="52"/>
      <c r="C5" s="52"/>
      <c r="D5" s="52"/>
      <c r="E5" s="52"/>
      <c r="F5" s="52"/>
      <c r="G5" s="52"/>
      <c r="H5" s="52"/>
      <c r="I5" s="52"/>
      <c r="J5" s="52"/>
      <c r="K5" s="52"/>
      <c r="L5" s="52"/>
      <c r="M5" s="68"/>
      <c r="N5" s="52"/>
      <c r="O5" s="52"/>
      <c r="P5" s="52"/>
      <c r="Q5" s="52"/>
    </row>
    <row r="6" spans="1:43" ht="38.25" customHeight="1" x14ac:dyDescent="0.35">
      <c r="B6" s="52"/>
      <c r="C6" s="52"/>
      <c r="D6" s="52"/>
      <c r="E6" s="52"/>
      <c r="F6" s="52"/>
      <c r="G6" s="52"/>
      <c r="H6" s="52"/>
      <c r="I6" s="52"/>
      <c r="J6" s="52"/>
      <c r="K6" s="52"/>
      <c r="L6" s="52"/>
      <c r="M6" s="68"/>
      <c r="N6" s="52"/>
      <c r="O6" s="52"/>
      <c r="P6" s="52"/>
      <c r="Q6" s="52"/>
    </row>
    <row r="8" spans="1:43" ht="12.75" customHeight="1" x14ac:dyDescent="0.35">
      <c r="D8" s="74" t="s">
        <v>140</v>
      </c>
      <c r="G8" s="74" t="s">
        <v>140</v>
      </c>
      <c r="K8" s="74" t="s">
        <v>140</v>
      </c>
    </row>
    <row r="9" spans="1:43" ht="12.75" customHeight="1" x14ac:dyDescent="0.35">
      <c r="B9" s="4"/>
      <c r="C9" s="9" t="s">
        <v>2</v>
      </c>
      <c r="D9" s="44" t="s">
        <v>1</v>
      </c>
      <c r="E9" s="9" t="s">
        <v>0</v>
      </c>
      <c r="F9" s="2"/>
      <c r="G9" s="46">
        <v>43617</v>
      </c>
      <c r="H9" s="46"/>
      <c r="I9" s="47">
        <v>43983</v>
      </c>
      <c r="J9" s="47"/>
      <c r="K9" s="46">
        <v>44348</v>
      </c>
      <c r="L9" s="46"/>
      <c r="M9" s="70">
        <v>44713</v>
      </c>
      <c r="N9" s="46"/>
      <c r="O9" s="46"/>
      <c r="P9" s="46"/>
      <c r="Q9" s="46"/>
      <c r="R9" s="10"/>
      <c r="S9" s="10"/>
      <c r="T9" s="10"/>
      <c r="U9" s="10"/>
      <c r="V9" s="10"/>
      <c r="W9" s="10"/>
      <c r="X9" s="10"/>
      <c r="Y9" s="10"/>
      <c r="Z9" s="10"/>
      <c r="AA9" s="10"/>
    </row>
    <row r="10" spans="1:43" ht="12.75" customHeight="1" x14ac:dyDescent="0.35">
      <c r="A10" t="s">
        <v>167</v>
      </c>
      <c r="G10" s="44" t="s">
        <v>131</v>
      </c>
      <c r="H10" s="44"/>
      <c r="I10" s="9" t="s">
        <v>131</v>
      </c>
      <c r="J10" s="9"/>
      <c r="K10" s="44" t="s">
        <v>132</v>
      </c>
      <c r="L10" s="44"/>
      <c r="M10" s="9" t="s">
        <v>132</v>
      </c>
      <c r="N10" s="44"/>
      <c r="O10" s="44"/>
      <c r="P10" s="44"/>
      <c r="Q10" s="44"/>
      <c r="R10" s="9"/>
      <c r="S10" s="9"/>
      <c r="T10" s="9"/>
      <c r="U10" s="9"/>
      <c r="V10" s="9"/>
      <c r="W10" s="9"/>
      <c r="X10" s="9"/>
      <c r="Y10" s="9"/>
      <c r="Z10" s="9"/>
      <c r="AA10" s="9"/>
      <c r="AF10">
        <v>0.62309999999999999</v>
      </c>
      <c r="AI10" t="s">
        <v>133</v>
      </c>
    </row>
    <row r="11" spans="1:43" ht="12.75" customHeight="1" x14ac:dyDescent="0.35">
      <c r="B11" s="3" t="s">
        <v>3</v>
      </c>
      <c r="AD11" s="26"/>
      <c r="AE11" s="26"/>
      <c r="AF11" t="s">
        <v>161</v>
      </c>
      <c r="AG11" t="s">
        <v>162</v>
      </c>
    </row>
    <row r="12" spans="1:43" ht="12.75" customHeight="1" x14ac:dyDescent="0.35">
      <c r="AD12" s="26" t="s">
        <v>156</v>
      </c>
      <c r="AE12" s="26">
        <v>84</v>
      </c>
      <c r="AF12">
        <f>AE12/$AF$10</f>
        <v>134.80982185844968</v>
      </c>
      <c r="AG12">
        <f>AG27</f>
        <v>158</v>
      </c>
      <c r="AH12">
        <f>AG12-AF12</f>
        <v>23.190178141550319</v>
      </c>
      <c r="AI12">
        <f>AF27</f>
        <v>163</v>
      </c>
      <c r="AJ12">
        <f>AI12*AH12</f>
        <v>3779.9990370727019</v>
      </c>
      <c r="AN12" s="27"/>
      <c r="AO12" s="28"/>
      <c r="AP12" s="26"/>
      <c r="AQ12" s="29"/>
    </row>
    <row r="13" spans="1:43" ht="12.75" customHeight="1" x14ac:dyDescent="0.35">
      <c r="A13" s="53">
        <v>1</v>
      </c>
      <c r="B13" s="3" t="s">
        <v>4</v>
      </c>
      <c r="AD13" s="26" t="s">
        <v>157</v>
      </c>
      <c r="AE13" s="26">
        <v>42</v>
      </c>
      <c r="AF13">
        <f>AE13/$AF$10</f>
        <v>67.40491092922484</v>
      </c>
      <c r="AG13">
        <f>AG28</f>
        <v>79</v>
      </c>
      <c r="AH13">
        <f>AG13-AF13</f>
        <v>11.59508907077516</v>
      </c>
      <c r="AI13">
        <f>AE28</f>
        <v>20</v>
      </c>
      <c r="AJ13">
        <f>AI13*AH13</f>
        <v>231.90178141550319</v>
      </c>
      <c r="AN13" s="27"/>
      <c r="AO13" s="28"/>
      <c r="AP13" s="26"/>
      <c r="AQ13" s="29"/>
    </row>
    <row r="14" spans="1:43" ht="12.75" customHeight="1" x14ac:dyDescent="0.35">
      <c r="B14" s="1" t="s">
        <v>5</v>
      </c>
      <c r="C14" s="32">
        <v>300.2</v>
      </c>
      <c r="D14" s="35">
        <v>0</v>
      </c>
      <c r="E14" s="32">
        <v>0</v>
      </c>
      <c r="F14" s="32"/>
      <c r="G14" s="35"/>
      <c r="H14" s="35"/>
      <c r="I14" s="32"/>
      <c r="J14" s="32"/>
      <c r="K14" s="35"/>
      <c r="L14" s="35"/>
      <c r="M14" s="32"/>
      <c r="N14" s="35"/>
      <c r="O14" s="35"/>
      <c r="P14" s="35"/>
      <c r="Q14" s="35"/>
      <c r="R14" s="17"/>
      <c r="S14" s="17"/>
      <c r="T14" s="17"/>
      <c r="U14" s="17"/>
      <c r="V14" s="17"/>
      <c r="W14" s="17"/>
      <c r="X14" s="17"/>
      <c r="Y14" s="17"/>
      <c r="Z14" s="17"/>
      <c r="AA14" s="17"/>
      <c r="AD14" s="26" t="s">
        <v>158</v>
      </c>
      <c r="AE14" s="26">
        <v>560</v>
      </c>
      <c r="AF14">
        <f>AE14/$AF$10</f>
        <v>898.73214572299798</v>
      </c>
      <c r="AG14">
        <f>AG24</f>
        <v>1034</v>
      </c>
      <c r="AH14">
        <f>AG14-AF14</f>
        <v>135.26785427700202</v>
      </c>
      <c r="AI14">
        <f>AE25</f>
        <v>18</v>
      </c>
      <c r="AJ14">
        <f>AI14*AH14</f>
        <v>2434.8213769860363</v>
      </c>
      <c r="AN14" s="27"/>
      <c r="AO14" s="28"/>
      <c r="AP14" s="26"/>
      <c r="AQ14" s="29"/>
    </row>
    <row r="15" spans="1:43" ht="12.75" customHeight="1" x14ac:dyDescent="0.35">
      <c r="A15" s="53"/>
      <c r="B15" s="1" t="s">
        <v>6</v>
      </c>
      <c r="C15" s="32">
        <v>600.78</v>
      </c>
      <c r="D15" s="35">
        <v>1746.29</v>
      </c>
      <c r="E15" s="32">
        <v>1031.3499999999999</v>
      </c>
      <c r="F15" s="32"/>
      <c r="G15" s="35">
        <v>1500</v>
      </c>
      <c r="H15" s="35"/>
      <c r="I15" s="75">
        <v>700</v>
      </c>
      <c r="J15" s="32"/>
      <c r="K15" s="35">
        <v>700</v>
      </c>
      <c r="L15" s="35"/>
      <c r="M15" s="32">
        <v>700</v>
      </c>
      <c r="N15" s="35"/>
      <c r="O15" s="35"/>
      <c r="P15" s="35"/>
      <c r="Q15" s="35"/>
      <c r="R15" s="18"/>
      <c r="S15" s="18"/>
      <c r="T15" s="18"/>
      <c r="U15" s="18"/>
      <c r="V15" s="18"/>
      <c r="W15" s="18"/>
      <c r="X15" s="18"/>
      <c r="Y15" s="18"/>
      <c r="Z15" s="18"/>
      <c r="AA15" s="18"/>
      <c r="AD15" s="26" t="s">
        <v>159</v>
      </c>
      <c r="AE15" s="26">
        <v>560</v>
      </c>
      <c r="AF15">
        <f>AE15/$AF$10</f>
        <v>898.73214572299798</v>
      </c>
      <c r="AG15">
        <f>AG25</f>
        <v>1034</v>
      </c>
      <c r="AH15">
        <f>AG15-AF15</f>
        <v>135.26785427700202</v>
      </c>
      <c r="AI15">
        <f>AE24</f>
        <v>48</v>
      </c>
      <c r="AJ15">
        <f>AI15*AH15</f>
        <v>6492.8570052960968</v>
      </c>
      <c r="AN15" s="27"/>
      <c r="AO15" s="28"/>
      <c r="AP15" s="26"/>
      <c r="AQ15" s="29"/>
    </row>
    <row r="16" spans="1:43" ht="12.75" customHeight="1" x14ac:dyDescent="0.35">
      <c r="A16" s="53"/>
      <c r="B16" s="1" t="s">
        <v>7</v>
      </c>
      <c r="C16" s="32">
        <v>6400.5</v>
      </c>
      <c r="D16" s="35">
        <v>0</v>
      </c>
      <c r="E16" s="32">
        <v>0</v>
      </c>
      <c r="F16" s="32"/>
      <c r="G16" s="35"/>
      <c r="H16" s="35"/>
      <c r="I16" s="32"/>
      <c r="J16" s="32"/>
      <c r="K16" s="35"/>
      <c r="L16" s="35"/>
      <c r="M16" s="32"/>
      <c r="N16" s="35"/>
      <c r="O16" s="35"/>
      <c r="P16" s="35"/>
      <c r="Q16" s="35"/>
      <c r="R16" s="17"/>
      <c r="S16" s="23" t="s">
        <v>153</v>
      </c>
      <c r="T16" s="17"/>
      <c r="U16" s="17"/>
      <c r="V16" s="17"/>
      <c r="W16" s="17"/>
      <c r="X16" s="17"/>
      <c r="Y16" s="17"/>
      <c r="Z16" s="17"/>
      <c r="AA16" s="17"/>
      <c r="AD16" s="26" t="s">
        <v>160</v>
      </c>
      <c r="AE16" s="26">
        <v>280</v>
      </c>
      <c r="AF16">
        <f>AE16/$AF$10</f>
        <v>449.36607286149899</v>
      </c>
      <c r="AG16">
        <f>AG26</f>
        <v>517</v>
      </c>
      <c r="AH16">
        <f>AG16-AF16</f>
        <v>67.633927138501008</v>
      </c>
      <c r="AI16">
        <f>AE26</f>
        <v>10</v>
      </c>
      <c r="AJ16">
        <f>AI16*AH16</f>
        <v>676.33927138501008</v>
      </c>
      <c r="AN16" s="27"/>
      <c r="AO16" s="28"/>
      <c r="AP16" s="26"/>
      <c r="AQ16" s="29"/>
    </row>
    <row r="17" spans="1:48" ht="12.75" customHeight="1" x14ac:dyDescent="0.35">
      <c r="A17" s="53"/>
      <c r="B17" s="1" t="s">
        <v>8</v>
      </c>
      <c r="C17" s="32">
        <f>51756.11-11082</f>
        <v>40674.11</v>
      </c>
      <c r="D17" s="35">
        <v>51895.6</v>
      </c>
      <c r="E17" s="32">
        <v>48127.17</v>
      </c>
      <c r="F17" s="32"/>
      <c r="G17" s="35">
        <f>1800000*0.025</f>
        <v>45000</v>
      </c>
      <c r="H17" s="35"/>
      <c r="I17" s="63">
        <f>1800000*0.025</f>
        <v>45000</v>
      </c>
      <c r="J17" s="32"/>
      <c r="K17" s="35">
        <f>1800000*0.02</f>
        <v>36000</v>
      </c>
      <c r="L17" s="35"/>
      <c r="M17" s="32">
        <f>1800000*0.02</f>
        <v>36000</v>
      </c>
      <c r="N17" s="35" t="s">
        <v>210</v>
      </c>
      <c r="O17" s="35"/>
      <c r="P17" s="35"/>
      <c r="Q17" s="35"/>
      <c r="R17" s="17"/>
      <c r="S17" s="17"/>
      <c r="T17" s="17"/>
      <c r="U17" s="17"/>
      <c r="V17" s="17"/>
      <c r="W17" s="17"/>
      <c r="X17" s="17"/>
      <c r="Y17" s="17"/>
      <c r="Z17" s="17"/>
      <c r="AA17" s="17"/>
      <c r="AJ17">
        <f>SUM(AJ12:AJ16)</f>
        <v>13615.918472155348</v>
      </c>
      <c r="AK17" t="s">
        <v>163</v>
      </c>
    </row>
    <row r="18" spans="1:48" ht="12.75" customHeight="1" x14ac:dyDescent="0.35">
      <c r="A18" s="53"/>
      <c r="B18" s="1"/>
      <c r="C18" s="1"/>
      <c r="F18" s="2"/>
    </row>
    <row r="19" spans="1:48" ht="12.75" customHeight="1" x14ac:dyDescent="0.35">
      <c r="A19" s="53"/>
      <c r="B19" s="5" t="s">
        <v>9</v>
      </c>
      <c r="C19" s="48">
        <f>SUM(C14:C18)</f>
        <v>47975.59</v>
      </c>
      <c r="D19" s="49">
        <f>SUM(D14:D17)</f>
        <v>53641.89</v>
      </c>
      <c r="E19" s="48">
        <f>SUM(E14:E17)</f>
        <v>49158.52</v>
      </c>
      <c r="F19" s="2"/>
      <c r="G19" s="49">
        <f>SUM(G14:G18)</f>
        <v>46500</v>
      </c>
      <c r="H19" s="49"/>
      <c r="I19" s="49">
        <f>SUM(I14:I18)</f>
        <v>45700</v>
      </c>
      <c r="J19" s="49"/>
      <c r="K19" s="49">
        <f>SUM(K14:K18)</f>
        <v>36700</v>
      </c>
      <c r="L19" s="35"/>
      <c r="M19" s="48">
        <f>SUM(M14:M18)</f>
        <v>36700</v>
      </c>
      <c r="N19" s="35"/>
      <c r="O19" s="35"/>
      <c r="P19" s="35"/>
      <c r="Q19" s="35"/>
      <c r="R19" s="3"/>
      <c r="S19" s="3"/>
      <c r="T19" s="3"/>
      <c r="U19" s="3"/>
      <c r="V19" s="3"/>
      <c r="W19" s="3"/>
      <c r="X19" s="3"/>
      <c r="Y19" s="3"/>
      <c r="Z19" s="3"/>
      <c r="AA19" s="3"/>
    </row>
    <row r="20" spans="1:48" ht="12.75" customHeight="1" x14ac:dyDescent="0.35">
      <c r="A20" s="53"/>
    </row>
    <row r="21" spans="1:48" ht="12.75" customHeight="1" x14ac:dyDescent="0.35">
      <c r="A21" s="53">
        <v>2</v>
      </c>
      <c r="B21" s="3" t="s">
        <v>10</v>
      </c>
      <c r="AJ21" s="11">
        <v>2.1000000000000001E-2</v>
      </c>
      <c r="AN21" t="s">
        <v>141</v>
      </c>
    </row>
    <row r="22" spans="1:48" ht="12.75" customHeight="1" x14ac:dyDescent="0.35">
      <c r="A22" s="53"/>
      <c r="F22">
        <v>2019</v>
      </c>
      <c r="AI22" t="s">
        <v>142</v>
      </c>
      <c r="AL22" t="s">
        <v>145</v>
      </c>
      <c r="AN22" t="s">
        <v>146</v>
      </c>
      <c r="AQ22" t="s">
        <v>147</v>
      </c>
      <c r="AS22" t="s">
        <v>148</v>
      </c>
      <c r="AT22" t="s">
        <v>149</v>
      </c>
      <c r="AU22" t="s">
        <v>150</v>
      </c>
    </row>
    <row r="23" spans="1:48" ht="12.75" customHeight="1" x14ac:dyDescent="0.35">
      <c r="A23" s="53"/>
      <c r="B23" s="3" t="s">
        <v>11</v>
      </c>
      <c r="N23" s="34" t="s">
        <v>184</v>
      </c>
      <c r="AE23" t="s">
        <v>133</v>
      </c>
      <c r="AF23" t="s">
        <v>139</v>
      </c>
      <c r="AG23" t="s">
        <v>140</v>
      </c>
      <c r="AH23" t="s">
        <v>141</v>
      </c>
      <c r="AL23" t="s">
        <v>143</v>
      </c>
    </row>
    <row r="24" spans="1:48" ht="12.75" customHeight="1" x14ac:dyDescent="0.35">
      <c r="A24" s="53"/>
      <c r="B24" s="1" t="s">
        <v>12</v>
      </c>
      <c r="C24" s="32">
        <v>92305.01</v>
      </c>
      <c r="D24" s="35">
        <v>135575.70000000001</v>
      </c>
      <c r="E24" s="32">
        <v>139584.59</v>
      </c>
      <c r="F24" s="64">
        <v>142925</v>
      </c>
      <c r="G24" s="35">
        <f>AV24+AV25</f>
        <v>144776.85545454547</v>
      </c>
      <c r="H24" s="35"/>
      <c r="I24" s="32">
        <f>F24*1.05</f>
        <v>150071.25</v>
      </c>
      <c r="J24" s="32"/>
      <c r="K24" s="35">
        <f>I24*1.05</f>
        <v>157574.8125</v>
      </c>
      <c r="L24" s="35"/>
      <c r="M24" s="32">
        <f>K24*1.05</f>
        <v>165453.55312500001</v>
      </c>
      <c r="N24" s="35"/>
      <c r="O24" s="35"/>
      <c r="P24" s="35"/>
      <c r="Q24" s="35"/>
      <c r="R24" s="17"/>
      <c r="S24" s="17"/>
      <c r="T24" s="17"/>
      <c r="U24" s="17"/>
      <c r="V24" s="17"/>
      <c r="W24" s="17"/>
      <c r="X24" s="17"/>
      <c r="Y24" s="17"/>
      <c r="Z24" s="17"/>
      <c r="AA24" s="17"/>
      <c r="AD24" t="s">
        <v>134</v>
      </c>
      <c r="AE24">
        <v>48</v>
      </c>
      <c r="AF24">
        <v>51</v>
      </c>
      <c r="AG24">
        <v>1034</v>
      </c>
      <c r="AH24">
        <v>808</v>
      </c>
      <c r="AI24">
        <f>AH24+AG24</f>
        <v>1842</v>
      </c>
      <c r="AJ24">
        <f t="shared" ref="AJ24:AJ29" si="0">AI24*$AJ$21</f>
        <v>38.682000000000002</v>
      </c>
      <c r="AK24" s="13">
        <f t="shared" ref="AK24:AK29" si="1">AJ24+AI24</f>
        <v>1880.682</v>
      </c>
      <c r="AL24">
        <v>1880</v>
      </c>
      <c r="AN24">
        <f t="shared" ref="AN24:AN29" si="2">AH24-(AH24/1/11)</f>
        <v>734.5454545454545</v>
      </c>
      <c r="AO24">
        <f t="shared" ref="AO24:AO29" si="3">AN24+(AN24*$AJ$21)</f>
        <v>749.970909090909</v>
      </c>
      <c r="AQ24" s="12">
        <f t="shared" ref="AQ24:AQ29" si="4">AF24*AO24</f>
        <v>38248.516363636358</v>
      </c>
      <c r="AS24">
        <f t="shared" ref="AS24:AS29" si="5">AG24*AF24</f>
        <v>52734</v>
      </c>
      <c r="AT24" s="14">
        <f>E24/2</f>
        <v>69792.294999999998</v>
      </c>
      <c r="AU24">
        <f t="shared" ref="AU24:AU29" si="6">AQ24/2</f>
        <v>19124.258181818179</v>
      </c>
      <c r="AV24" s="14">
        <f t="shared" ref="AV24:AV29" si="7">AU24+AT24</f>
        <v>88916.553181818177</v>
      </c>
    </row>
    <row r="25" spans="1:48" ht="12.75" customHeight="1" x14ac:dyDescent="0.35">
      <c r="A25" s="53"/>
      <c r="B25" s="1" t="s">
        <v>13</v>
      </c>
      <c r="C25" s="32">
        <v>283.39999999999998</v>
      </c>
      <c r="D25" s="35">
        <v>1470.36</v>
      </c>
      <c r="E25" s="32">
        <v>2154.79</v>
      </c>
      <c r="F25" s="64">
        <v>2640.08</v>
      </c>
      <c r="G25" s="35">
        <f>D25</f>
        <v>1470.36</v>
      </c>
      <c r="H25" s="35"/>
      <c r="I25" s="32">
        <f t="shared" ref="I25:I30" si="8">F25*1.05</f>
        <v>2772.0839999999998</v>
      </c>
      <c r="J25" s="32"/>
      <c r="K25" s="35">
        <f t="shared" ref="K25:M30" si="9">I25*1.05</f>
        <v>2910.6882000000001</v>
      </c>
      <c r="L25" s="35"/>
      <c r="M25" s="32">
        <f t="shared" si="9"/>
        <v>3056.2226100000003</v>
      </c>
      <c r="N25" s="35"/>
      <c r="O25" s="35"/>
      <c r="P25" s="35"/>
      <c r="Q25" s="35"/>
      <c r="R25" s="17"/>
      <c r="S25" s="17" t="s">
        <v>154</v>
      </c>
      <c r="T25" s="17"/>
      <c r="U25" s="17"/>
      <c r="V25" s="17"/>
      <c r="W25" s="17"/>
      <c r="X25" s="17"/>
      <c r="Y25" s="17"/>
      <c r="Z25" s="17"/>
      <c r="AA25" s="17"/>
      <c r="AD25" t="s">
        <v>135</v>
      </c>
      <c r="AE25">
        <v>18</v>
      </c>
      <c r="AF25">
        <v>19</v>
      </c>
      <c r="AG25">
        <v>1034</v>
      </c>
      <c r="AH25">
        <v>6335</v>
      </c>
      <c r="AI25">
        <f>AH25+AG25</f>
        <v>7369</v>
      </c>
      <c r="AJ25">
        <f t="shared" si="0"/>
        <v>154.74900000000002</v>
      </c>
      <c r="AK25" s="13">
        <f t="shared" si="1"/>
        <v>7523.7489999999998</v>
      </c>
      <c r="AL25">
        <v>7525</v>
      </c>
      <c r="AN25">
        <f t="shared" si="2"/>
        <v>5759.090909090909</v>
      </c>
      <c r="AO25">
        <f t="shared" si="3"/>
        <v>5880.0318181818184</v>
      </c>
      <c r="AQ25" s="12">
        <f t="shared" si="4"/>
        <v>111720.60454545455</v>
      </c>
      <c r="AS25">
        <f t="shared" si="5"/>
        <v>19646</v>
      </c>
      <c r="AU25">
        <f t="shared" si="6"/>
        <v>55860.302272727276</v>
      </c>
      <c r="AV25" s="14">
        <f t="shared" si="7"/>
        <v>55860.302272727276</v>
      </c>
    </row>
    <row r="26" spans="1:48" ht="12.75" customHeight="1" x14ac:dyDescent="0.35">
      <c r="A26" s="53"/>
      <c r="B26" s="1" t="s">
        <v>14</v>
      </c>
      <c r="C26" s="32">
        <v>3055.48</v>
      </c>
      <c r="D26" s="35">
        <v>3331.86</v>
      </c>
      <c r="E26" s="32">
        <v>3566.38</v>
      </c>
      <c r="F26" s="64">
        <v>4248.18</v>
      </c>
      <c r="G26" s="35">
        <f>AV26</f>
        <v>3845.6099999999997</v>
      </c>
      <c r="H26" s="35"/>
      <c r="I26" s="32">
        <f t="shared" si="8"/>
        <v>4460.5890000000009</v>
      </c>
      <c r="J26" s="32"/>
      <c r="K26" s="35">
        <f t="shared" si="9"/>
        <v>4683.6184500000008</v>
      </c>
      <c r="L26" s="35"/>
      <c r="M26" s="32">
        <f t="shared" si="9"/>
        <v>4917.7993725000015</v>
      </c>
      <c r="N26" s="35"/>
      <c r="O26" s="35"/>
      <c r="P26" s="35"/>
      <c r="Q26" s="35"/>
      <c r="R26" s="17"/>
      <c r="S26" s="17"/>
      <c r="T26" s="17"/>
      <c r="U26" s="17"/>
      <c r="V26" s="17"/>
      <c r="W26" s="17"/>
      <c r="X26" s="17"/>
      <c r="Y26" s="17"/>
      <c r="Z26" s="17"/>
      <c r="AA26" s="17"/>
      <c r="AD26" t="s">
        <v>136</v>
      </c>
      <c r="AE26">
        <v>10</v>
      </c>
      <c r="AF26">
        <v>11</v>
      </c>
      <c r="AG26">
        <v>517</v>
      </c>
      <c r="AH26">
        <v>404</v>
      </c>
      <c r="AI26">
        <f>AH26+AG26</f>
        <v>921</v>
      </c>
      <c r="AJ26">
        <f t="shared" si="0"/>
        <v>19.341000000000001</v>
      </c>
      <c r="AK26" s="13">
        <f t="shared" si="1"/>
        <v>940.34100000000001</v>
      </c>
      <c r="AL26">
        <v>940</v>
      </c>
      <c r="AN26">
        <f t="shared" si="2"/>
        <v>367.27272727272725</v>
      </c>
      <c r="AO26">
        <f t="shared" si="3"/>
        <v>374.9854545454545</v>
      </c>
      <c r="AQ26" s="12">
        <f t="shared" si="4"/>
        <v>4124.8399999999992</v>
      </c>
      <c r="AS26">
        <f t="shared" si="5"/>
        <v>5687</v>
      </c>
      <c r="AT26" s="14">
        <f>E26/2</f>
        <v>1783.19</v>
      </c>
      <c r="AU26">
        <f t="shared" si="6"/>
        <v>2062.4199999999996</v>
      </c>
      <c r="AV26" s="14">
        <f t="shared" si="7"/>
        <v>3845.6099999999997</v>
      </c>
    </row>
    <row r="27" spans="1:48" ht="12.75" customHeight="1" x14ac:dyDescent="0.35">
      <c r="A27" s="53"/>
      <c r="B27" s="1" t="s">
        <v>15</v>
      </c>
      <c r="C27" s="32">
        <v>0</v>
      </c>
      <c r="D27" s="35">
        <v>71.819999999999993</v>
      </c>
      <c r="E27" s="32">
        <v>146.83000000000001</v>
      </c>
      <c r="F27" s="64">
        <v>951.3599999999999</v>
      </c>
      <c r="G27" s="35">
        <f>AH27</f>
        <v>165</v>
      </c>
      <c r="H27" s="35"/>
      <c r="I27" s="32">
        <f t="shared" si="8"/>
        <v>998.92799999999988</v>
      </c>
      <c r="J27" s="32"/>
      <c r="K27" s="35">
        <f t="shared" si="9"/>
        <v>1048.8743999999999</v>
      </c>
      <c r="L27" s="35"/>
      <c r="M27" s="32">
        <f t="shared" si="9"/>
        <v>1101.3181199999999</v>
      </c>
      <c r="N27" s="35"/>
      <c r="O27" s="35"/>
      <c r="P27" s="35"/>
      <c r="Q27" s="35"/>
      <c r="R27" s="17"/>
      <c r="S27" s="17"/>
      <c r="T27" s="17"/>
      <c r="U27" s="17"/>
      <c r="V27" s="17"/>
      <c r="W27" s="17"/>
      <c r="X27" s="17"/>
      <c r="Y27" s="17"/>
      <c r="Z27" s="17"/>
      <c r="AA27" s="17"/>
      <c r="AD27" t="s">
        <v>137</v>
      </c>
      <c r="AE27">
        <v>155</v>
      </c>
      <c r="AF27">
        <v>163</v>
      </c>
      <c r="AG27">
        <v>158</v>
      </c>
      <c r="AH27">
        <v>165</v>
      </c>
      <c r="AI27">
        <f>AH27+AG27</f>
        <v>323</v>
      </c>
      <c r="AJ27">
        <f t="shared" si="0"/>
        <v>6.7830000000000004</v>
      </c>
      <c r="AK27" s="13">
        <f t="shared" si="1"/>
        <v>329.78300000000002</v>
      </c>
      <c r="AL27">
        <v>330</v>
      </c>
      <c r="AN27">
        <f t="shared" si="2"/>
        <v>150</v>
      </c>
      <c r="AO27">
        <f t="shared" si="3"/>
        <v>153.15</v>
      </c>
      <c r="AQ27" s="12">
        <f t="shared" si="4"/>
        <v>24963.45</v>
      </c>
      <c r="AS27">
        <f t="shared" si="5"/>
        <v>25754</v>
      </c>
      <c r="AT27" s="14">
        <f>E28/2</f>
        <v>11693.4</v>
      </c>
      <c r="AU27">
        <f t="shared" si="6"/>
        <v>12481.725</v>
      </c>
      <c r="AV27" s="14">
        <f t="shared" si="7"/>
        <v>24175.125</v>
      </c>
    </row>
    <row r="28" spans="1:48" ht="12.75" customHeight="1" x14ac:dyDescent="0.35">
      <c r="A28" s="53"/>
      <c r="B28" s="1" t="s">
        <v>16</v>
      </c>
      <c r="C28" s="32">
        <v>18030.939999999999</v>
      </c>
      <c r="D28" s="35">
        <v>18988.36</v>
      </c>
      <c r="E28" s="32">
        <v>23386.799999999999</v>
      </c>
      <c r="F28" s="64">
        <v>23698.639999999999</v>
      </c>
      <c r="G28" s="35">
        <f>AV27</f>
        <v>24175.125</v>
      </c>
      <c r="H28" s="35"/>
      <c r="I28" s="32">
        <f t="shared" si="8"/>
        <v>24883.572</v>
      </c>
      <c r="J28" s="32"/>
      <c r="K28" s="35">
        <f t="shared" si="9"/>
        <v>26127.750600000003</v>
      </c>
      <c r="L28" s="35"/>
      <c r="M28" s="32">
        <f t="shared" si="9"/>
        <v>27434.138130000003</v>
      </c>
      <c r="N28" s="35"/>
      <c r="O28" s="35"/>
      <c r="P28" s="35"/>
      <c r="Q28" s="35"/>
      <c r="R28" s="17"/>
      <c r="S28" s="17"/>
      <c r="T28" s="17"/>
      <c r="U28" s="17"/>
      <c r="V28" s="17"/>
      <c r="W28" s="17"/>
      <c r="X28" s="17"/>
      <c r="Y28" s="17"/>
      <c r="Z28" s="17"/>
      <c r="AA28" s="17"/>
      <c r="AD28" t="s">
        <v>138</v>
      </c>
      <c r="AE28">
        <v>20</v>
      </c>
      <c r="AF28">
        <f>AE28*1.05</f>
        <v>21</v>
      </c>
      <c r="AG28">
        <v>79</v>
      </c>
      <c r="AH28">
        <v>82</v>
      </c>
      <c r="AI28">
        <f>AH28+AG28</f>
        <v>161</v>
      </c>
      <c r="AJ28">
        <f t="shared" si="0"/>
        <v>3.3810000000000002</v>
      </c>
      <c r="AK28" s="13">
        <f t="shared" si="1"/>
        <v>164.381</v>
      </c>
      <c r="AL28">
        <v>165</v>
      </c>
      <c r="AN28">
        <f t="shared" si="2"/>
        <v>74.545454545454547</v>
      </c>
      <c r="AO28">
        <f t="shared" si="3"/>
        <v>76.11090909090909</v>
      </c>
      <c r="AQ28" s="12">
        <f t="shared" si="4"/>
        <v>1598.3290909090908</v>
      </c>
      <c r="AS28">
        <f t="shared" si="5"/>
        <v>1659</v>
      </c>
      <c r="AT28" s="14">
        <f>E29/2</f>
        <v>769.71500000000003</v>
      </c>
      <c r="AU28">
        <f t="shared" si="6"/>
        <v>799.16454545454542</v>
      </c>
      <c r="AV28" s="14">
        <f t="shared" si="7"/>
        <v>1568.8795454545455</v>
      </c>
    </row>
    <row r="29" spans="1:48" ht="12.75" customHeight="1" x14ac:dyDescent="0.35">
      <c r="A29" s="53"/>
      <c r="B29" s="1" t="s">
        <v>17</v>
      </c>
      <c r="C29" s="32">
        <v>224.93</v>
      </c>
      <c r="D29" s="35">
        <v>906.55</v>
      </c>
      <c r="E29" s="32">
        <v>1539.43</v>
      </c>
      <c r="F29" s="64">
        <v>2089.17</v>
      </c>
      <c r="G29" s="35">
        <f>AV28</f>
        <v>1568.8795454545455</v>
      </c>
      <c r="H29" s="35"/>
      <c r="I29" s="32">
        <f t="shared" si="8"/>
        <v>2193.6285000000003</v>
      </c>
      <c r="J29" s="32"/>
      <c r="K29" s="35">
        <f t="shared" si="9"/>
        <v>2303.3099250000005</v>
      </c>
      <c r="L29" s="35"/>
      <c r="M29" s="32">
        <f t="shared" si="9"/>
        <v>2418.4754212500006</v>
      </c>
      <c r="N29" s="35"/>
      <c r="O29" s="35"/>
      <c r="P29" s="35"/>
      <c r="Q29" s="35"/>
      <c r="R29" s="17"/>
      <c r="S29" s="17"/>
      <c r="T29" s="17"/>
      <c r="U29" s="17"/>
      <c r="V29" s="17"/>
      <c r="W29" s="17"/>
      <c r="X29" s="17"/>
      <c r="Y29" s="17"/>
      <c r="Z29" s="17"/>
      <c r="AA29" s="17"/>
      <c r="AD29" t="s">
        <v>144</v>
      </c>
      <c r="AE29">
        <v>332</v>
      </c>
      <c r="AF29">
        <v>339</v>
      </c>
      <c r="AH29">
        <v>886</v>
      </c>
      <c r="AI29">
        <f>AH29</f>
        <v>886</v>
      </c>
      <c r="AJ29">
        <f t="shared" si="0"/>
        <v>18.606000000000002</v>
      </c>
      <c r="AK29" s="13">
        <f t="shared" si="1"/>
        <v>904.60599999999999</v>
      </c>
      <c r="AL29">
        <v>900</v>
      </c>
      <c r="AN29">
        <f t="shared" si="2"/>
        <v>805.4545454545455</v>
      </c>
      <c r="AO29">
        <f t="shared" si="3"/>
        <v>822.36909090909091</v>
      </c>
      <c r="AQ29" s="12">
        <f t="shared" si="4"/>
        <v>278783.12181818183</v>
      </c>
      <c r="AS29">
        <f t="shared" si="5"/>
        <v>0</v>
      </c>
      <c r="AT29" s="14">
        <f>E39/2</f>
        <v>121582.81999999999</v>
      </c>
      <c r="AU29">
        <f t="shared" si="6"/>
        <v>139391.56090909091</v>
      </c>
      <c r="AV29" s="14">
        <f t="shared" si="7"/>
        <v>260974.38090909092</v>
      </c>
    </row>
    <row r="30" spans="1:48" ht="12.75" customHeight="1" x14ac:dyDescent="0.35">
      <c r="A30" s="53"/>
      <c r="B30" s="1" t="s">
        <v>18</v>
      </c>
      <c r="C30" s="32">
        <v>-692.46</v>
      </c>
      <c r="D30" s="35">
        <v>-2290.44</v>
      </c>
      <c r="E30" s="32">
        <v>-3248.64</v>
      </c>
      <c r="F30" s="64">
        <v>-3226.08</v>
      </c>
      <c r="G30" s="35">
        <f>E30*1.021</f>
        <v>-3316.8614399999997</v>
      </c>
      <c r="H30" s="35"/>
      <c r="I30" s="32">
        <f t="shared" si="8"/>
        <v>-3387.384</v>
      </c>
      <c r="J30" s="32"/>
      <c r="K30" s="35">
        <f t="shared" si="9"/>
        <v>-3556.7532000000001</v>
      </c>
      <c r="L30" s="35"/>
      <c r="M30" s="32">
        <f t="shared" si="9"/>
        <v>-3734.5908600000002</v>
      </c>
      <c r="N30" s="35"/>
      <c r="O30" s="35"/>
      <c r="P30" s="35"/>
      <c r="Q30" s="35"/>
      <c r="R30" s="17"/>
      <c r="S30" s="17"/>
      <c r="T30" s="17"/>
      <c r="U30" s="17"/>
      <c r="V30" s="17"/>
      <c r="W30" s="17"/>
      <c r="X30" s="17"/>
      <c r="Y30" s="17"/>
      <c r="Z30" s="17"/>
      <c r="AA30" s="17"/>
      <c r="AQ30" s="12">
        <f>SUM(AQ24:AQ29)</f>
        <v>459438.86181818182</v>
      </c>
      <c r="AS30">
        <f>SUM(AS24:AS29)</f>
        <v>105480</v>
      </c>
      <c r="AV30" s="14">
        <f>SUM(AV24:AV29)</f>
        <v>435340.85090909095</v>
      </c>
    </row>
    <row r="31" spans="1:48" ht="12.75" customHeight="1" x14ac:dyDescent="0.35">
      <c r="A31" s="53"/>
      <c r="C31" s="32"/>
      <c r="D31" s="35"/>
      <c r="E31" s="32">
        <f>SUM(E24:E30)</f>
        <v>167130.17999999996</v>
      </c>
      <c r="F31" s="32">
        <f>E31+E50</f>
        <v>270349.34999999998</v>
      </c>
      <c r="G31" s="32">
        <f>SUM(G24:G30)</f>
        <v>172684.96855999998</v>
      </c>
      <c r="H31" s="32">
        <f>G31+G50</f>
        <v>278164.96855999995</v>
      </c>
      <c r="I31" s="32">
        <f>SUM(I24:I30)</f>
        <v>181992.66750000001</v>
      </c>
      <c r="J31" s="32">
        <f>I31+I50</f>
        <v>287472.66749999998</v>
      </c>
      <c r="K31" s="32">
        <f>SUM(K24:K30)</f>
        <v>191092.30087500002</v>
      </c>
      <c r="L31" s="32">
        <f>K31+K50</f>
        <v>301846.30087500002</v>
      </c>
      <c r="M31" s="32">
        <f>SUM(M24:M30)</f>
        <v>200646.91591875005</v>
      </c>
      <c r="N31" s="32"/>
      <c r="O31" s="32"/>
      <c r="P31" s="32"/>
      <c r="Q31" s="32"/>
      <c r="R31" s="17"/>
      <c r="S31" s="17"/>
      <c r="T31" s="17"/>
      <c r="U31" s="17"/>
      <c r="V31" s="17"/>
      <c r="W31" s="17"/>
      <c r="X31" s="17"/>
      <c r="Y31" s="17"/>
      <c r="Z31" s="17"/>
      <c r="AA31" s="17"/>
    </row>
    <row r="32" spans="1:48" ht="12.75" customHeight="1" x14ac:dyDescent="0.35">
      <c r="A32" s="53">
        <v>2.1</v>
      </c>
      <c r="B32" s="3" t="s">
        <v>19</v>
      </c>
      <c r="C32" s="32"/>
      <c r="D32" s="35"/>
      <c r="E32" s="32"/>
      <c r="F32" s="32"/>
      <c r="G32" s="35"/>
      <c r="H32" s="35"/>
      <c r="I32" s="32"/>
      <c r="J32" s="32"/>
      <c r="K32" s="35"/>
      <c r="L32" s="35"/>
      <c r="M32" s="32"/>
      <c r="N32" s="35"/>
      <c r="O32" s="35"/>
      <c r="P32" s="35"/>
      <c r="Q32" s="35"/>
      <c r="R32" s="17"/>
      <c r="S32" s="17"/>
      <c r="T32" s="17"/>
      <c r="U32" s="17"/>
      <c r="V32" s="17"/>
      <c r="W32" s="17"/>
      <c r="X32" s="17"/>
      <c r="Y32" s="17"/>
      <c r="Z32" s="17"/>
      <c r="AA32" s="17"/>
      <c r="AQ32" s="14"/>
    </row>
    <row r="33" spans="1:46" ht="12.75" customHeight="1" x14ac:dyDescent="0.35">
      <c r="A33" s="53"/>
      <c r="B33" s="1" t="s">
        <v>20</v>
      </c>
      <c r="C33" s="32">
        <v>-5863.86</v>
      </c>
      <c r="D33" s="35">
        <v>-13764.17</v>
      </c>
      <c r="E33" s="32">
        <v>-7206.01</v>
      </c>
      <c r="F33" s="64">
        <v>-4158.72</v>
      </c>
      <c r="G33" s="35">
        <f t="shared" ref="G33:G38" si="10">AS33*$G$39</f>
        <v>-7733.757115416136</v>
      </c>
      <c r="H33" s="35"/>
      <c r="I33" s="32">
        <f>F33*1.05</f>
        <v>-4366.6560000000009</v>
      </c>
      <c r="J33" s="32"/>
      <c r="K33" s="35">
        <f>I33*1.05</f>
        <v>-4584.988800000001</v>
      </c>
      <c r="L33" s="35"/>
      <c r="M33" s="32">
        <f>K33*1.05</f>
        <v>-4814.2382400000015</v>
      </c>
      <c r="N33" s="35"/>
      <c r="O33" s="35"/>
      <c r="P33" s="35"/>
      <c r="Q33" s="35"/>
      <c r="R33" s="17"/>
      <c r="S33" s="17"/>
      <c r="T33" s="17"/>
      <c r="U33" s="17"/>
      <c r="V33" s="17"/>
      <c r="W33" s="17"/>
      <c r="X33" s="17"/>
      <c r="Y33" s="17"/>
      <c r="Z33" s="17"/>
      <c r="AA33" s="17"/>
      <c r="AR33" s="14"/>
      <c r="AS33">
        <f>E33/$E$39</f>
        <v>-2.963416212915608E-2</v>
      </c>
      <c r="AT33" t="s">
        <v>151</v>
      </c>
    </row>
    <row r="34" spans="1:46" ht="12.75" customHeight="1" x14ac:dyDescent="0.35">
      <c r="A34" s="53"/>
      <c r="B34" s="1" t="s">
        <v>21</v>
      </c>
      <c r="C34" s="32">
        <v>220698.66</v>
      </c>
      <c r="D34" s="35">
        <v>213147.31</v>
      </c>
      <c r="E34" s="32">
        <v>208917.02</v>
      </c>
      <c r="F34" s="64"/>
      <c r="G34" s="35">
        <f t="shared" si="10"/>
        <v>224217.49205961899</v>
      </c>
      <c r="H34" s="35"/>
      <c r="I34" s="32">
        <f>F34*1.05</f>
        <v>0</v>
      </c>
      <c r="J34" s="32"/>
      <c r="K34" s="35">
        <f t="shared" ref="K34:M39" si="11">I34*1.05</f>
        <v>0</v>
      </c>
      <c r="L34" s="35"/>
      <c r="M34" s="32">
        <f t="shared" si="11"/>
        <v>0</v>
      </c>
      <c r="N34" s="35"/>
      <c r="O34" s="35"/>
      <c r="P34" s="35"/>
      <c r="Q34" s="35"/>
      <c r="R34" s="17"/>
      <c r="S34" s="17"/>
      <c r="T34" s="17"/>
      <c r="U34" s="17"/>
      <c r="V34" s="17"/>
      <c r="W34" s="17"/>
      <c r="X34" s="17"/>
      <c r="Y34" s="17"/>
      <c r="Z34" s="17"/>
      <c r="AA34" s="17"/>
      <c r="AS34">
        <f t="shared" ref="AS34:AS39" si="12">E34/$E$39</f>
        <v>0.85915518327342633</v>
      </c>
    </row>
    <row r="35" spans="1:46" ht="12.75" customHeight="1" x14ac:dyDescent="0.35">
      <c r="A35" s="53"/>
      <c r="B35" s="1" t="s">
        <v>22</v>
      </c>
      <c r="C35" s="32">
        <v>700</v>
      </c>
      <c r="D35" s="35">
        <v>2764.98</v>
      </c>
      <c r="E35" s="32">
        <v>1920.12</v>
      </c>
      <c r="F35" s="64">
        <v>210011.14</v>
      </c>
      <c r="G35" s="35">
        <f t="shared" si="10"/>
        <v>2060.7439779368651</v>
      </c>
      <c r="H35" s="35"/>
      <c r="I35" s="32">
        <f>F35*1.05</f>
        <v>220511.69700000001</v>
      </c>
      <c r="J35" s="32"/>
      <c r="K35" s="35">
        <f t="shared" si="11"/>
        <v>231537.28185000003</v>
      </c>
      <c r="L35" s="35"/>
      <c r="M35" s="32">
        <f t="shared" si="11"/>
        <v>243114.14594250004</v>
      </c>
      <c r="N35" s="35"/>
      <c r="O35" s="35"/>
      <c r="P35" s="35"/>
      <c r="Q35" s="35"/>
      <c r="R35" s="17"/>
      <c r="S35" s="17"/>
      <c r="T35" s="17"/>
      <c r="U35" s="17"/>
      <c r="V35" s="17"/>
      <c r="W35" s="17"/>
      <c r="X35" s="17"/>
      <c r="Y35" s="17"/>
      <c r="Z35" s="17"/>
      <c r="AA35" s="17"/>
      <c r="AS35">
        <f t="shared" si="12"/>
        <v>7.8963458817619143E-3</v>
      </c>
    </row>
    <row r="36" spans="1:46" ht="12.75" customHeight="1" x14ac:dyDescent="0.35">
      <c r="A36" s="53"/>
      <c r="B36" s="1" t="s">
        <v>23</v>
      </c>
      <c r="C36" s="32">
        <v>7175.72</v>
      </c>
      <c r="D36" s="35">
        <v>6875.7</v>
      </c>
      <c r="E36" s="32">
        <v>7683.48</v>
      </c>
      <c r="F36" s="64">
        <v>8325.66</v>
      </c>
      <c r="G36" s="35">
        <f t="shared" si="10"/>
        <v>8246.1956229810348</v>
      </c>
      <c r="H36" s="35"/>
      <c r="I36" s="32">
        <f>F36*1.05</f>
        <v>8741.9430000000011</v>
      </c>
      <c r="J36" s="32"/>
      <c r="K36" s="35">
        <f t="shared" si="11"/>
        <v>9179.0401500000007</v>
      </c>
      <c r="L36" s="35"/>
      <c r="M36" s="32">
        <f t="shared" si="11"/>
        <v>9637.9921575000008</v>
      </c>
      <c r="N36" s="35"/>
      <c r="O36" s="35"/>
      <c r="P36" s="35"/>
      <c r="Q36" s="35"/>
      <c r="R36" s="17"/>
      <c r="S36" s="17"/>
      <c r="T36" s="17"/>
      <c r="U36" s="17"/>
      <c r="V36" s="17"/>
      <c r="W36" s="17"/>
      <c r="X36" s="17"/>
      <c r="Y36" s="17"/>
      <c r="Z36" s="17"/>
      <c r="AA36" s="17"/>
      <c r="AS36">
        <f t="shared" si="12"/>
        <v>3.1597720796408574E-2</v>
      </c>
    </row>
    <row r="37" spans="1:46" ht="12.75" customHeight="1" x14ac:dyDescent="0.35">
      <c r="A37" s="53"/>
      <c r="B37" s="1" t="s">
        <v>24</v>
      </c>
      <c r="C37" s="32">
        <v>23058.73</v>
      </c>
      <c r="D37" s="35">
        <v>29613.75</v>
      </c>
      <c r="E37" s="32">
        <v>32048.54</v>
      </c>
      <c r="F37" s="64">
        <v>32348.420000000002</v>
      </c>
      <c r="G37" s="35">
        <f t="shared" si="10"/>
        <v>34395.68141921793</v>
      </c>
      <c r="H37" s="35"/>
      <c r="I37" s="32">
        <f>F37*1.05</f>
        <v>33965.841</v>
      </c>
      <c r="J37" s="32"/>
      <c r="K37" s="35">
        <f t="shared" si="11"/>
        <v>35664.133050000004</v>
      </c>
      <c r="L37" s="35"/>
      <c r="M37" s="32">
        <f t="shared" si="11"/>
        <v>37447.339702500009</v>
      </c>
      <c r="N37" s="35"/>
      <c r="O37" s="35"/>
      <c r="P37" s="35"/>
      <c r="Q37" s="35"/>
      <c r="R37" s="17"/>
      <c r="S37" s="17"/>
      <c r="T37" s="17"/>
      <c r="U37" s="17"/>
      <c r="V37" s="17"/>
      <c r="W37" s="17"/>
      <c r="X37" s="17"/>
      <c r="Y37" s="17"/>
      <c r="Z37" s="17"/>
      <c r="AA37" s="17"/>
      <c r="AS37">
        <f t="shared" si="12"/>
        <v>0.13179715686805094</v>
      </c>
    </row>
    <row r="38" spans="1:46" ht="12.75" customHeight="1" x14ac:dyDescent="0.35">
      <c r="A38" s="53"/>
      <c r="B38" s="1" t="s">
        <v>25</v>
      </c>
      <c r="C38" s="32">
        <v>0</v>
      </c>
      <c r="D38" s="35">
        <v>-197.52</v>
      </c>
      <c r="E38" s="32">
        <v>-197.51</v>
      </c>
      <c r="F38" s="64"/>
      <c r="G38" s="35">
        <f t="shared" si="10"/>
        <v>-211.97505524775025</v>
      </c>
      <c r="H38" s="35"/>
      <c r="I38" s="32">
        <f>G38*1.05</f>
        <v>-222.57380801013778</v>
      </c>
      <c r="J38" s="32"/>
      <c r="K38" s="35">
        <f t="shared" si="11"/>
        <v>-233.70249841064469</v>
      </c>
      <c r="L38" s="35"/>
      <c r="M38" s="32">
        <f t="shared" si="11"/>
        <v>-245.38762333117694</v>
      </c>
      <c r="N38" s="35"/>
      <c r="O38" s="35"/>
      <c r="P38" s="35"/>
      <c r="Q38" s="35"/>
      <c r="R38" s="17"/>
      <c r="S38" s="17"/>
      <c r="T38" s="17"/>
      <c r="U38" s="17"/>
      <c r="V38" s="17"/>
      <c r="W38" s="17"/>
      <c r="X38" s="17"/>
      <c r="Y38" s="17"/>
      <c r="Z38" s="17"/>
      <c r="AA38" s="17"/>
      <c r="AS38">
        <f t="shared" si="12"/>
        <v>-8.1224469049163365E-4</v>
      </c>
    </row>
    <row r="39" spans="1:46" ht="12.75" customHeight="1" x14ac:dyDescent="0.35">
      <c r="A39" s="53"/>
      <c r="B39" s="5" t="s">
        <v>26</v>
      </c>
      <c r="C39" s="48">
        <f>SUM(C33:C38)</f>
        <v>245769.25000000003</v>
      </c>
      <c r="D39" s="49">
        <f>SUM(D33:D38)</f>
        <v>238440.05000000002</v>
      </c>
      <c r="E39" s="48">
        <f>SUM(E33:E38)</f>
        <v>243165.63999999998</v>
      </c>
      <c r="F39" s="32"/>
      <c r="G39" s="49">
        <f>AV29</f>
        <v>260974.38090909092</v>
      </c>
      <c r="H39" s="49"/>
      <c r="I39" s="48">
        <f>G39*1.05</f>
        <v>274023.0999545455</v>
      </c>
      <c r="J39" s="48"/>
      <c r="K39" s="49">
        <f t="shared" si="11"/>
        <v>287724.25495227281</v>
      </c>
      <c r="L39" s="35"/>
      <c r="M39" s="48">
        <f t="shared" si="11"/>
        <v>302110.46769988647</v>
      </c>
      <c r="N39" s="35"/>
      <c r="O39" s="35"/>
      <c r="P39" s="35"/>
      <c r="Q39" s="35"/>
      <c r="R39" s="22"/>
      <c r="S39" s="22"/>
      <c r="T39" s="22"/>
      <c r="U39" s="22"/>
      <c r="V39" s="22"/>
      <c r="W39" s="22"/>
      <c r="X39" s="22"/>
      <c r="Y39" s="22"/>
      <c r="Z39" s="22"/>
      <c r="AA39" s="22"/>
      <c r="AS39">
        <f t="shared" si="12"/>
        <v>1</v>
      </c>
    </row>
    <row r="40" spans="1:46" ht="12.75" customHeight="1" x14ac:dyDescent="0.35">
      <c r="A40" s="53"/>
    </row>
    <row r="41" spans="1:46" ht="12.75" customHeight="1" thickBot="1" x14ac:dyDescent="0.4">
      <c r="A41" s="53"/>
      <c r="B41" s="6" t="s">
        <v>27</v>
      </c>
      <c r="C41" s="50">
        <f>(0+((C24+C25+C26+C27+C28+C29+C30))+(C39))-(0)</f>
        <v>358976.55</v>
      </c>
      <c r="D41" s="51">
        <f>(0+((D24+D25+D26+D27+D28+D29+D30))+(D39))-(0)</f>
        <v>396494.26</v>
      </c>
      <c r="E41" s="50">
        <f>(0+((E24+E25+E26+E27+E28+E29+E30))+(E39))-(0)</f>
        <v>410295.81999999995</v>
      </c>
      <c r="F41" s="32"/>
      <c r="G41" s="51">
        <f>(0+((G24+G25+G26+G27+G28+G29+G30))+(G39))-(0)</f>
        <v>433659.34946909093</v>
      </c>
      <c r="H41" s="51"/>
      <c r="I41" s="50">
        <f>(0+((I24+I25+I26+I27+I28+I29+I30))+(I39))-(0)</f>
        <v>456015.76745454548</v>
      </c>
      <c r="J41" s="50"/>
      <c r="K41" s="51">
        <f>(0+((K24+K25+K26+K27+K28+K29+K30))+(K39))-(0)</f>
        <v>478816.55582727282</v>
      </c>
      <c r="L41" s="59"/>
      <c r="M41" s="50">
        <f>(0+((M24+M25+M26+M27+M28+M29+M30))+(M39))-(0)</f>
        <v>502757.38361863652</v>
      </c>
      <c r="N41" s="59"/>
      <c r="O41" s="59"/>
      <c r="P41" s="59"/>
      <c r="Q41" s="59"/>
      <c r="R41" s="3"/>
      <c r="S41" s="3"/>
      <c r="T41" s="3"/>
      <c r="U41" s="3"/>
      <c r="V41" s="3"/>
      <c r="W41" s="3"/>
      <c r="X41" s="3"/>
      <c r="Y41" s="3"/>
      <c r="Z41" s="3"/>
      <c r="AA41" s="3"/>
    </row>
    <row r="42" spans="1:46" ht="12.75" customHeight="1" thickTop="1" x14ac:dyDescent="0.35">
      <c r="A42" s="53"/>
    </row>
    <row r="43" spans="1:46" ht="12.75" customHeight="1" x14ac:dyDescent="0.35">
      <c r="A43" s="53">
        <v>3</v>
      </c>
      <c r="B43" s="3" t="s">
        <v>28</v>
      </c>
      <c r="N43" s="34" t="s">
        <v>185</v>
      </c>
    </row>
    <row r="44" spans="1:46" ht="12.75" customHeight="1" x14ac:dyDescent="0.35">
      <c r="A44" s="53"/>
      <c r="B44" s="1" t="s">
        <v>29</v>
      </c>
      <c r="C44" s="32">
        <f>30256.32+15602</f>
        <v>45858.32</v>
      </c>
      <c r="D44" s="35">
        <v>5</v>
      </c>
      <c r="E44" s="32">
        <v>0</v>
      </c>
      <c r="F44" s="32"/>
      <c r="G44" s="35"/>
      <c r="H44" s="35"/>
      <c r="I44" s="32"/>
      <c r="J44" s="32"/>
      <c r="K44" s="35"/>
      <c r="L44" s="35"/>
      <c r="M44" s="32"/>
      <c r="N44" s="35"/>
      <c r="O44" s="35"/>
      <c r="P44" s="35"/>
      <c r="Q44" s="35"/>
      <c r="R44" s="17"/>
      <c r="S44" s="17"/>
      <c r="T44" s="17"/>
      <c r="U44" s="17"/>
      <c r="V44" s="17"/>
      <c r="W44" s="17"/>
      <c r="X44" s="17"/>
      <c r="Y44" s="17"/>
      <c r="Z44" s="17"/>
      <c r="AA44" s="17"/>
    </row>
    <row r="45" spans="1:46" ht="12.75" customHeight="1" x14ac:dyDescent="0.35">
      <c r="A45" s="53"/>
      <c r="B45" s="1" t="s">
        <v>30</v>
      </c>
      <c r="C45" s="32">
        <v>0</v>
      </c>
      <c r="D45" s="35">
        <f>100084.72-14676</f>
        <v>85408.72</v>
      </c>
      <c r="E45" s="32">
        <v>70217.95</v>
      </c>
      <c r="F45" s="64">
        <v>71205.010000000009</v>
      </c>
      <c r="G45" s="35">
        <f>AS24+AS25</f>
        <v>72380</v>
      </c>
      <c r="H45" s="35"/>
      <c r="I45" s="63">
        <f>G45</f>
        <v>72380</v>
      </c>
      <c r="J45" s="32"/>
      <c r="K45" s="35">
        <f>I45*1.05</f>
        <v>75999</v>
      </c>
      <c r="L45" s="35"/>
      <c r="M45" s="32">
        <f>K45</f>
        <v>75999</v>
      </c>
      <c r="N45" s="35"/>
      <c r="O45" s="35"/>
      <c r="P45" s="35"/>
      <c r="Q45" s="35"/>
      <c r="R45" s="17"/>
      <c r="S45" s="17" t="s">
        <v>155</v>
      </c>
      <c r="T45" s="17"/>
      <c r="U45" s="17"/>
      <c r="V45" s="17"/>
      <c r="W45" s="17"/>
      <c r="X45" s="17"/>
      <c r="Y45" s="17"/>
      <c r="Z45" s="17"/>
      <c r="AA45" s="17"/>
    </row>
    <row r="46" spans="1:46" ht="12.75" customHeight="1" x14ac:dyDescent="0.35">
      <c r="A46" s="53"/>
      <c r="B46" s="1" t="s">
        <v>31</v>
      </c>
      <c r="C46" s="32">
        <v>0</v>
      </c>
      <c r="D46" s="35">
        <v>7801</v>
      </c>
      <c r="E46" s="32">
        <v>5146.5</v>
      </c>
      <c r="F46" s="64">
        <v>4581.54</v>
      </c>
      <c r="G46" s="35">
        <f>AS26</f>
        <v>5687</v>
      </c>
      <c r="H46" s="35"/>
      <c r="I46" s="63">
        <f>G46</f>
        <v>5687</v>
      </c>
      <c r="J46" s="32"/>
      <c r="K46" s="35">
        <f>I46*1.05</f>
        <v>5971.35</v>
      </c>
      <c r="L46" s="35"/>
      <c r="M46" s="32">
        <f>K46</f>
        <v>5971.35</v>
      </c>
      <c r="N46" s="35"/>
      <c r="O46" s="35"/>
      <c r="P46" s="35"/>
      <c r="Q46" s="35"/>
      <c r="R46" s="17"/>
      <c r="S46" s="17"/>
      <c r="T46" s="17"/>
      <c r="U46" s="17"/>
      <c r="V46" s="17"/>
      <c r="W46" s="17"/>
      <c r="X46" s="17"/>
      <c r="Y46" s="17"/>
      <c r="Z46" s="17"/>
      <c r="AA46" s="17"/>
    </row>
    <row r="47" spans="1:46" ht="12.75" customHeight="1" x14ac:dyDescent="0.35">
      <c r="A47" s="53"/>
      <c r="B47" s="1" t="s">
        <v>32</v>
      </c>
      <c r="C47" s="32">
        <v>0</v>
      </c>
      <c r="D47" s="35">
        <v>31476.13</v>
      </c>
      <c r="E47" s="32">
        <v>26235.200000000001</v>
      </c>
      <c r="F47" s="64">
        <v>25739.89</v>
      </c>
      <c r="G47" s="35">
        <f>AS27</f>
        <v>25754</v>
      </c>
      <c r="H47" s="35"/>
      <c r="I47" s="63">
        <f>G47</f>
        <v>25754</v>
      </c>
      <c r="J47" s="32"/>
      <c r="K47" s="35">
        <f>I47*1.05</f>
        <v>27041.7</v>
      </c>
      <c r="L47" s="35"/>
      <c r="M47" s="32">
        <f>K47</f>
        <v>27041.7</v>
      </c>
      <c r="N47" s="35"/>
      <c r="O47" s="35"/>
      <c r="P47" s="35"/>
      <c r="Q47" s="35"/>
      <c r="R47" s="17"/>
      <c r="S47" s="17"/>
      <c r="T47" s="17"/>
      <c r="U47" s="17"/>
      <c r="V47" s="17"/>
      <c r="W47" s="17"/>
      <c r="X47" s="17"/>
      <c r="Y47" s="17"/>
      <c r="Z47" s="17"/>
      <c r="AA47" s="17"/>
    </row>
    <row r="48" spans="1:46" ht="12.75" customHeight="1" x14ac:dyDescent="0.35">
      <c r="A48" s="53"/>
      <c r="B48" s="1" t="s">
        <v>33</v>
      </c>
      <c r="C48" s="32">
        <v>0</v>
      </c>
      <c r="D48" s="35">
        <v>1335.19</v>
      </c>
      <c r="E48" s="32">
        <v>1619.52</v>
      </c>
      <c r="F48" s="64">
        <v>2204.8000000000002</v>
      </c>
      <c r="G48" s="35">
        <f>AS28</f>
        <v>1659</v>
      </c>
      <c r="H48" s="35"/>
      <c r="I48" s="63">
        <f>G48</f>
        <v>1659</v>
      </c>
      <c r="J48" s="32"/>
      <c r="K48" s="35">
        <f>I48*1.05</f>
        <v>1741.95</v>
      </c>
      <c r="L48" s="35"/>
      <c r="M48" s="32">
        <f>K48</f>
        <v>1741.95</v>
      </c>
      <c r="N48" s="35"/>
      <c r="O48" s="35"/>
      <c r="P48" s="35"/>
      <c r="Q48" s="35"/>
      <c r="R48" s="17"/>
      <c r="S48" s="17"/>
      <c r="T48" s="17"/>
      <c r="U48" s="17"/>
      <c r="V48" s="17"/>
      <c r="W48" s="17"/>
      <c r="X48" s="17"/>
      <c r="Y48" s="17"/>
      <c r="Z48" s="17"/>
      <c r="AA48" s="17"/>
    </row>
    <row r="49" spans="1:28" ht="12.75" hidden="1" customHeight="1" x14ac:dyDescent="0.35">
      <c r="A49" s="53"/>
      <c r="B49" s="1" t="s">
        <v>34</v>
      </c>
      <c r="C49" s="32"/>
      <c r="D49" s="35"/>
      <c r="E49" s="32">
        <v>0</v>
      </c>
      <c r="F49" s="32"/>
      <c r="G49" s="35"/>
      <c r="H49" s="35"/>
      <c r="I49" s="32"/>
      <c r="J49" s="32"/>
      <c r="K49" s="35"/>
      <c r="L49" s="35"/>
      <c r="M49" s="32"/>
      <c r="N49" s="35"/>
      <c r="O49" s="35"/>
      <c r="P49" s="35"/>
      <c r="Q49" s="35"/>
      <c r="R49" s="17"/>
      <c r="S49" s="17"/>
      <c r="T49" s="17"/>
      <c r="U49" s="17"/>
      <c r="V49" s="17"/>
      <c r="W49" s="17"/>
      <c r="X49" s="17"/>
      <c r="Y49" s="17"/>
      <c r="Z49" s="17"/>
      <c r="AA49" s="17"/>
    </row>
    <row r="50" spans="1:28" ht="12.75" customHeight="1" x14ac:dyDescent="0.35">
      <c r="A50" s="53"/>
      <c r="B50" s="5" t="s">
        <v>35</v>
      </c>
      <c r="C50" s="20">
        <f>SUM(C44:C49)</f>
        <v>45858.32</v>
      </c>
      <c r="D50" s="36">
        <f>SUM(D44:D49)</f>
        <v>126026.04000000001</v>
      </c>
      <c r="E50" s="20">
        <f>SUM(E44:E49)</f>
        <v>103219.17</v>
      </c>
      <c r="F50" s="19"/>
      <c r="G50" s="36">
        <f>SUM(G44:G49)</f>
        <v>105480</v>
      </c>
      <c r="H50" s="36"/>
      <c r="I50" s="20">
        <f>SUM(I44:I49)</f>
        <v>105480</v>
      </c>
      <c r="J50" s="20"/>
      <c r="K50" s="36">
        <f>SUM(K44:K49)</f>
        <v>110754</v>
      </c>
      <c r="L50" s="58"/>
      <c r="M50" s="20">
        <f>SUM(M44:M49)</f>
        <v>110754</v>
      </c>
      <c r="N50" s="58"/>
      <c r="O50" s="58"/>
      <c r="P50" s="58"/>
      <c r="Q50" s="58"/>
      <c r="R50" s="22"/>
      <c r="S50" s="22"/>
      <c r="T50" s="22"/>
      <c r="U50" s="22"/>
      <c r="V50" s="22"/>
      <c r="W50" s="22"/>
      <c r="X50" s="22"/>
      <c r="Y50" s="22"/>
      <c r="Z50" s="22"/>
      <c r="AA50" s="22"/>
    </row>
    <row r="51" spans="1:28" ht="12.75" customHeight="1" x14ac:dyDescent="0.35">
      <c r="A51" s="53"/>
      <c r="C51" s="17"/>
      <c r="D51" s="37"/>
      <c r="E51" s="17"/>
      <c r="F51" s="17"/>
      <c r="G51" s="37"/>
      <c r="H51" s="37"/>
      <c r="I51" s="17"/>
      <c r="J51" s="17"/>
      <c r="K51" s="37"/>
      <c r="L51" s="37"/>
      <c r="M51" s="71"/>
      <c r="N51" s="37"/>
      <c r="O51" s="37"/>
      <c r="P51" s="37"/>
      <c r="Q51" s="37"/>
      <c r="R51" s="17"/>
      <c r="S51" s="17"/>
      <c r="T51" s="17"/>
      <c r="U51" s="17"/>
      <c r="V51" s="17"/>
      <c r="W51" s="17"/>
      <c r="X51" s="17"/>
      <c r="Y51" s="17"/>
      <c r="Z51" s="17"/>
      <c r="AA51" s="17"/>
    </row>
    <row r="52" spans="1:28" ht="12.75" customHeight="1" thickBot="1" x14ac:dyDescent="0.4">
      <c r="A52" s="53"/>
      <c r="B52" s="6" t="s">
        <v>36</v>
      </c>
      <c r="C52" s="16">
        <f>(0+(0)+(C50)+(C41))-(0)</f>
        <v>404834.87</v>
      </c>
      <c r="D52" s="38">
        <f>(0+(0)+(D50)+(D41))-(0)</f>
        <v>522520.30000000005</v>
      </c>
      <c r="E52" s="16">
        <f>(0+(0)+(E50)+(E41))-(0)</f>
        <v>513514.98999999993</v>
      </c>
      <c r="F52" s="19"/>
      <c r="G52" s="38">
        <f>(0+(0)+(G50)+(G41))-(0)</f>
        <v>539139.34946909093</v>
      </c>
      <c r="H52" s="38"/>
      <c r="I52" s="16">
        <f>(0+(0)+(I50)+(I41))-(0)</f>
        <v>561495.76745454548</v>
      </c>
      <c r="J52" s="16"/>
      <c r="K52" s="38">
        <f>(0+(0)+(K50)+(K41))-(0)</f>
        <v>589570.55582727282</v>
      </c>
      <c r="L52" s="58"/>
      <c r="M52" s="16">
        <f>(0+(0)+(M50)+(M41))-(0)</f>
        <v>613511.38361863652</v>
      </c>
      <c r="N52" s="58"/>
      <c r="O52" s="58"/>
      <c r="P52" s="58"/>
      <c r="Q52" s="58"/>
      <c r="R52" s="22"/>
      <c r="S52" s="22"/>
      <c r="T52" s="22"/>
      <c r="U52" s="22"/>
      <c r="V52" s="22"/>
      <c r="W52" s="22"/>
      <c r="X52" s="22"/>
      <c r="Y52" s="22"/>
      <c r="Z52" s="22"/>
      <c r="AA52" s="22"/>
      <c r="AB52" s="17">
        <f>K52-G52</f>
        <v>50431.206358181895</v>
      </c>
    </row>
    <row r="53" spans="1:28" ht="12.75" customHeight="1" thickTop="1" x14ac:dyDescent="0.35">
      <c r="A53" s="53"/>
      <c r="E53" s="17">
        <f>E52-E39</f>
        <v>270349.34999999998</v>
      </c>
    </row>
    <row r="54" spans="1:28" ht="12.75" customHeight="1" x14ac:dyDescent="0.35">
      <c r="A54" s="53">
        <v>4</v>
      </c>
      <c r="B54" s="3" t="s">
        <v>37</v>
      </c>
    </row>
    <row r="55" spans="1:28" ht="12.75" customHeight="1" x14ac:dyDescent="0.35">
      <c r="A55" s="53"/>
      <c r="B55" s="1" t="s">
        <v>38</v>
      </c>
      <c r="C55" s="32">
        <v>0</v>
      </c>
      <c r="D55" s="35">
        <v>0</v>
      </c>
      <c r="E55" s="32">
        <v>2818.06</v>
      </c>
      <c r="F55" s="32"/>
      <c r="G55" s="35">
        <v>5950</v>
      </c>
      <c r="H55" s="35"/>
      <c r="I55" s="63">
        <v>6300</v>
      </c>
      <c r="J55" s="32"/>
      <c r="K55" s="35">
        <v>7000</v>
      </c>
      <c r="L55" s="35"/>
      <c r="M55" s="32">
        <v>7500</v>
      </c>
      <c r="N55" s="35" t="s">
        <v>186</v>
      </c>
      <c r="O55" s="35"/>
      <c r="P55" s="35"/>
      <c r="Q55" s="35"/>
      <c r="R55" s="18"/>
      <c r="S55" s="18"/>
      <c r="T55" s="18"/>
      <c r="U55" s="18"/>
      <c r="V55" s="18"/>
      <c r="W55" s="18"/>
      <c r="X55" s="18"/>
      <c r="Y55" s="18"/>
      <c r="Z55" s="18"/>
      <c r="AA55" s="18"/>
    </row>
    <row r="56" spans="1:28" ht="12.75" customHeight="1" x14ac:dyDescent="0.35">
      <c r="A56" s="53"/>
      <c r="B56" s="1" t="s">
        <v>39</v>
      </c>
      <c r="C56" s="32">
        <v>0</v>
      </c>
      <c r="D56" s="35">
        <v>553</v>
      </c>
      <c r="E56" s="32">
        <v>17040.13</v>
      </c>
      <c r="F56" s="32"/>
      <c r="G56" s="35">
        <v>0</v>
      </c>
      <c r="H56" s="35"/>
      <c r="I56" s="32"/>
      <c r="J56" s="32"/>
      <c r="K56" s="35"/>
      <c r="L56" s="35"/>
      <c r="M56" s="32"/>
      <c r="N56" s="35"/>
      <c r="O56" s="35"/>
      <c r="P56" s="35"/>
      <c r="Q56" s="35"/>
      <c r="R56" s="17"/>
      <c r="S56" s="17"/>
      <c r="T56" s="17"/>
      <c r="U56" s="17"/>
      <c r="V56" s="17"/>
      <c r="W56" s="17"/>
      <c r="X56" s="17"/>
      <c r="Y56" s="17"/>
      <c r="Z56" s="17"/>
      <c r="AA56" s="17"/>
    </row>
    <row r="57" spans="1:28" ht="12.75" customHeight="1" x14ac:dyDescent="0.35">
      <c r="A57" s="53"/>
      <c r="B57" s="1" t="s">
        <v>40</v>
      </c>
      <c r="C57" s="32">
        <v>0</v>
      </c>
      <c r="D57" s="35">
        <v>0</v>
      </c>
      <c r="E57" s="32">
        <v>1</v>
      </c>
      <c r="F57" s="32"/>
      <c r="G57" s="35"/>
      <c r="H57" s="35"/>
      <c r="I57" s="32"/>
      <c r="J57" s="32"/>
      <c r="K57" s="35"/>
      <c r="L57" s="35"/>
      <c r="M57" s="32"/>
      <c r="N57" s="35"/>
      <c r="O57" s="35"/>
      <c r="P57" s="35"/>
      <c r="Q57" s="35"/>
      <c r="R57" s="17"/>
      <c r="S57" s="17"/>
      <c r="T57" s="17"/>
      <c r="U57" s="17"/>
      <c r="V57" s="17"/>
      <c r="W57" s="17"/>
      <c r="X57" s="17"/>
      <c r="Y57" s="17"/>
      <c r="Z57" s="17"/>
      <c r="AA57" s="17"/>
    </row>
    <row r="58" spans="1:28" ht="12.75" customHeight="1" x14ac:dyDescent="0.35">
      <c r="A58" s="53"/>
      <c r="B58" s="5" t="s">
        <v>41</v>
      </c>
      <c r="C58" s="20">
        <f>SUM(C55:C57)</f>
        <v>0</v>
      </c>
      <c r="D58" s="36">
        <f>SUM(D55:D57)</f>
        <v>553</v>
      </c>
      <c r="E58" s="20">
        <f>SUM(E55:E57)</f>
        <v>19859.190000000002</v>
      </c>
      <c r="F58" s="19"/>
      <c r="G58" s="36">
        <f>SUM(G55:G57)</f>
        <v>5950</v>
      </c>
      <c r="H58" s="36"/>
      <c r="I58" s="20">
        <f>SUM(I55:I57)</f>
        <v>6300</v>
      </c>
      <c r="J58" s="20"/>
      <c r="K58" s="36">
        <f>SUM(K55:K57)</f>
        <v>7000</v>
      </c>
      <c r="L58" s="58"/>
      <c r="M58" s="20">
        <f>SUM(M55:M57)</f>
        <v>7500</v>
      </c>
      <c r="N58" s="58"/>
      <c r="O58" s="58"/>
      <c r="P58" s="58"/>
      <c r="Q58" s="58"/>
      <c r="R58" s="22"/>
      <c r="S58" s="22"/>
      <c r="T58" s="22"/>
      <c r="U58" s="22"/>
      <c r="V58" s="22"/>
      <c r="W58" s="22"/>
      <c r="X58" s="22"/>
      <c r="Y58" s="22"/>
      <c r="Z58" s="22"/>
      <c r="AA58" s="22"/>
    </row>
    <row r="59" spans="1:28" ht="12.75" customHeight="1" x14ac:dyDescent="0.35">
      <c r="A59" s="53"/>
      <c r="C59" s="17"/>
      <c r="D59" s="37"/>
      <c r="E59" s="17"/>
      <c r="F59" s="17"/>
      <c r="G59" s="37"/>
      <c r="H59" s="37"/>
      <c r="I59" s="17"/>
      <c r="J59" s="17"/>
      <c r="K59" s="37"/>
      <c r="L59" s="37"/>
      <c r="M59" s="71"/>
      <c r="N59" s="37"/>
      <c r="O59" s="37"/>
      <c r="P59" s="37"/>
      <c r="Q59" s="37"/>
      <c r="R59" s="17"/>
      <c r="S59" s="17"/>
      <c r="T59" s="17"/>
      <c r="U59" s="17"/>
      <c r="V59" s="17"/>
      <c r="W59" s="17"/>
      <c r="X59" s="17"/>
      <c r="Y59" s="17"/>
      <c r="Z59" s="17"/>
      <c r="AA59" s="17"/>
    </row>
    <row r="60" spans="1:28" ht="12.75" customHeight="1" x14ac:dyDescent="0.35">
      <c r="A60" s="53">
        <v>5</v>
      </c>
      <c r="B60" s="3" t="s">
        <v>42</v>
      </c>
      <c r="C60" s="17"/>
      <c r="D60" s="37"/>
      <c r="E60" s="17"/>
      <c r="F60" s="17"/>
      <c r="G60" s="37"/>
      <c r="H60" s="37"/>
      <c r="I60" s="17"/>
      <c r="J60" s="17"/>
      <c r="K60" s="37"/>
      <c r="L60" s="37"/>
      <c r="M60" s="71"/>
      <c r="N60" s="37"/>
      <c r="O60" s="37"/>
      <c r="P60" s="37"/>
      <c r="Q60" s="37"/>
      <c r="R60" s="17"/>
      <c r="S60" s="17"/>
      <c r="T60" s="17"/>
      <c r="U60" s="17"/>
      <c r="V60" s="17"/>
      <c r="W60" s="17"/>
      <c r="X60" s="17"/>
      <c r="Y60" s="17"/>
      <c r="Z60" s="17"/>
      <c r="AA60" s="17"/>
    </row>
    <row r="61" spans="1:28" ht="12.75" customHeight="1" x14ac:dyDescent="0.35">
      <c r="A61" s="53">
        <v>5.0999999999999996</v>
      </c>
      <c r="B61" s="1" t="s">
        <v>43</v>
      </c>
      <c r="C61" s="32">
        <v>0</v>
      </c>
      <c r="D61" s="35">
        <v>0</v>
      </c>
      <c r="E61" s="32">
        <v>6000</v>
      </c>
      <c r="F61" s="32"/>
      <c r="G61" s="35">
        <v>74155</v>
      </c>
      <c r="H61" s="35"/>
      <c r="I61" s="32"/>
      <c r="J61" s="32"/>
      <c r="K61" s="35">
        <v>0</v>
      </c>
      <c r="L61" s="35"/>
      <c r="M61" s="32">
        <v>0</v>
      </c>
      <c r="N61" s="35"/>
      <c r="O61" s="35"/>
      <c r="P61" s="35"/>
      <c r="Q61" s="35"/>
      <c r="R61" s="18"/>
      <c r="S61" s="18"/>
      <c r="T61" s="18"/>
      <c r="U61" s="18"/>
      <c r="V61" s="18"/>
      <c r="W61" s="18"/>
      <c r="X61" s="18"/>
      <c r="Y61" s="18"/>
      <c r="Z61" s="18"/>
      <c r="AA61" s="18"/>
    </row>
    <row r="62" spans="1:28" ht="12.75" customHeight="1" x14ac:dyDescent="0.35">
      <c r="A62" s="53">
        <v>5.2</v>
      </c>
      <c r="B62" s="3" t="s">
        <v>44</v>
      </c>
      <c r="C62" s="17"/>
      <c r="D62" s="37"/>
      <c r="E62" s="17"/>
      <c r="F62" s="17"/>
      <c r="G62" s="37"/>
      <c r="H62" s="37"/>
      <c r="I62" s="17"/>
      <c r="J62" s="17"/>
      <c r="K62" s="37"/>
      <c r="L62" s="37"/>
      <c r="M62" s="71"/>
      <c r="N62" s="37"/>
      <c r="O62" s="37"/>
      <c r="P62" s="37"/>
      <c r="Q62" s="37"/>
      <c r="R62" s="17"/>
      <c r="S62" s="17"/>
      <c r="T62" s="17"/>
      <c r="U62" s="17"/>
      <c r="V62" s="17"/>
      <c r="W62" s="17"/>
      <c r="X62" s="17"/>
      <c r="Y62" s="17"/>
      <c r="Z62" s="17"/>
      <c r="AA62" s="17"/>
    </row>
    <row r="63" spans="1:28" ht="12.75" customHeight="1" x14ac:dyDescent="0.35">
      <c r="A63" s="53"/>
      <c r="B63" s="1" t="s">
        <v>45</v>
      </c>
      <c r="C63" s="32">
        <v>17103.43</v>
      </c>
      <c r="D63" s="35">
        <v>0</v>
      </c>
      <c r="E63" s="32">
        <v>24376</v>
      </c>
      <c r="F63" s="32"/>
      <c r="G63" s="35">
        <v>36000</v>
      </c>
      <c r="H63" s="35"/>
      <c r="I63" s="63">
        <v>34000</v>
      </c>
      <c r="J63" s="32"/>
      <c r="K63" s="35">
        <v>35000</v>
      </c>
      <c r="L63" s="35"/>
      <c r="M63" s="32">
        <v>36000</v>
      </c>
      <c r="N63" s="35" t="s">
        <v>187</v>
      </c>
      <c r="O63" s="35"/>
      <c r="P63" s="35"/>
      <c r="Q63" s="35"/>
      <c r="R63" s="17"/>
      <c r="S63" s="17"/>
      <c r="T63" s="17"/>
      <c r="U63" s="17"/>
      <c r="V63" s="17"/>
      <c r="W63" s="17"/>
      <c r="X63" s="17"/>
      <c r="Y63" s="17"/>
      <c r="Z63" s="17"/>
      <c r="AA63" s="17"/>
    </row>
    <row r="64" spans="1:28" ht="12.75" customHeight="1" x14ac:dyDescent="0.35">
      <c r="A64" s="53"/>
      <c r="B64" s="5" t="s">
        <v>46</v>
      </c>
      <c r="C64" s="20">
        <f>SUM(C63:C63)</f>
        <v>17103.43</v>
      </c>
      <c r="D64" s="36">
        <f>SUM(D63:D63)</f>
        <v>0</v>
      </c>
      <c r="E64" s="20">
        <f>SUM(E63:E63)</f>
        <v>24376</v>
      </c>
      <c r="F64" s="19"/>
      <c r="G64" s="36">
        <f>SUM(G63:G63)</f>
        <v>36000</v>
      </c>
      <c r="H64" s="36"/>
      <c r="I64" s="20">
        <f>SUM(I63:I63)</f>
        <v>34000</v>
      </c>
      <c r="J64" s="20"/>
      <c r="K64" s="36">
        <f>SUM(K63:K63)</f>
        <v>35000</v>
      </c>
      <c r="L64" s="58"/>
      <c r="M64" s="20">
        <f>SUM(M63:M63)</f>
        <v>36000</v>
      </c>
      <c r="N64" s="58"/>
      <c r="O64" s="58"/>
      <c r="P64" s="58"/>
      <c r="Q64" s="58"/>
      <c r="R64" s="22"/>
      <c r="S64" s="22"/>
      <c r="T64" s="22"/>
      <c r="U64" s="22"/>
      <c r="V64" s="22"/>
      <c r="W64" s="22"/>
      <c r="X64" s="22"/>
      <c r="Y64" s="22"/>
      <c r="Z64" s="22"/>
      <c r="AA64" s="22"/>
    </row>
    <row r="65" spans="1:34" ht="12.75" customHeight="1" x14ac:dyDescent="0.35">
      <c r="A65" s="53"/>
      <c r="C65" s="17"/>
      <c r="D65" s="37"/>
      <c r="E65" s="17"/>
      <c r="F65" s="17"/>
      <c r="G65" s="37"/>
      <c r="H65" s="37"/>
      <c r="I65" s="17"/>
      <c r="J65" s="17"/>
      <c r="K65" s="37"/>
      <c r="L65" s="37"/>
      <c r="M65" s="71"/>
      <c r="N65" s="37"/>
      <c r="O65" s="37"/>
      <c r="P65" s="37"/>
      <c r="Q65" s="37"/>
      <c r="R65" s="17"/>
      <c r="S65" s="17"/>
      <c r="T65" s="17"/>
      <c r="U65" s="17"/>
      <c r="V65" s="17"/>
      <c r="W65" s="17"/>
      <c r="X65" s="17"/>
      <c r="Y65" s="17"/>
      <c r="Z65" s="17"/>
      <c r="AA65" s="17"/>
    </row>
    <row r="66" spans="1:34" ht="12.75" customHeight="1" x14ac:dyDescent="0.35">
      <c r="A66" s="53">
        <v>5.3</v>
      </c>
      <c r="B66" s="3" t="s">
        <v>47</v>
      </c>
      <c r="C66" s="17"/>
      <c r="D66" s="37"/>
      <c r="E66" s="17"/>
      <c r="F66" s="17"/>
      <c r="G66" s="37"/>
      <c r="H66" s="37"/>
      <c r="I66" s="17"/>
      <c r="J66" s="17"/>
      <c r="K66" s="37"/>
      <c r="L66" s="37"/>
      <c r="M66" s="71"/>
      <c r="N66" s="37"/>
      <c r="O66" s="37"/>
      <c r="P66" s="37"/>
      <c r="Q66" s="37"/>
      <c r="R66" s="17"/>
      <c r="S66" s="17"/>
      <c r="T66" s="17"/>
      <c r="U66" s="17"/>
      <c r="V66" s="17"/>
      <c r="W66" s="17"/>
      <c r="X66" s="17"/>
      <c r="Y66" s="17"/>
      <c r="Z66" s="17"/>
      <c r="AA66" s="17"/>
    </row>
    <row r="67" spans="1:34" ht="12.75" customHeight="1" x14ac:dyDescent="0.35">
      <c r="A67" s="53"/>
      <c r="B67" s="1" t="s">
        <v>48</v>
      </c>
      <c r="C67" s="32">
        <v>6881.83</v>
      </c>
      <c r="D67" s="35">
        <v>0</v>
      </c>
      <c r="E67" s="32">
        <v>37416.71</v>
      </c>
      <c r="F67" s="32"/>
      <c r="G67" s="35">
        <v>0</v>
      </c>
      <c r="H67" s="35"/>
      <c r="I67" s="63">
        <f>E67</f>
        <v>37416.71</v>
      </c>
      <c r="J67" s="32"/>
      <c r="K67" s="35">
        <v>0</v>
      </c>
      <c r="L67" s="35"/>
      <c r="M67" s="32">
        <v>38000</v>
      </c>
      <c r="N67" s="35" t="s">
        <v>188</v>
      </c>
      <c r="O67" s="35"/>
      <c r="P67" s="35"/>
      <c r="Q67" s="35"/>
      <c r="R67" s="18"/>
      <c r="S67" s="18"/>
      <c r="T67" s="18"/>
      <c r="U67" s="18"/>
      <c r="V67" s="18"/>
      <c r="W67" s="18"/>
      <c r="X67" s="18"/>
      <c r="Y67" s="18"/>
      <c r="Z67" s="18"/>
      <c r="AA67" s="18"/>
    </row>
    <row r="68" spans="1:34" ht="12.75" customHeight="1" x14ac:dyDescent="0.35">
      <c r="A68" s="53"/>
      <c r="B68" s="1" t="s">
        <v>49</v>
      </c>
      <c r="C68" s="32">
        <v>34221.82</v>
      </c>
      <c r="D68" s="35">
        <v>895.45</v>
      </c>
      <c r="E68" s="32">
        <v>55811.74</v>
      </c>
      <c r="F68" s="32"/>
      <c r="G68" s="35">
        <v>0</v>
      </c>
      <c r="H68" s="35"/>
      <c r="I68" s="63">
        <v>60000</v>
      </c>
      <c r="J68" s="32"/>
      <c r="K68" s="35">
        <v>0</v>
      </c>
      <c r="L68" s="35"/>
      <c r="M68" s="32">
        <v>65000</v>
      </c>
      <c r="N68" s="35" t="s">
        <v>189</v>
      </c>
      <c r="O68" s="35"/>
      <c r="P68" s="35"/>
      <c r="Q68" s="35"/>
      <c r="R68" s="18"/>
      <c r="S68" s="18"/>
      <c r="T68" s="18"/>
      <c r="U68" s="18"/>
      <c r="V68" s="18"/>
      <c r="W68" s="18"/>
      <c r="X68" s="18"/>
      <c r="Y68" s="18"/>
      <c r="Z68" s="18"/>
      <c r="AA68" s="18"/>
    </row>
    <row r="69" spans="1:34" ht="12.75" customHeight="1" x14ac:dyDescent="0.35">
      <c r="A69" s="53"/>
      <c r="B69" s="5" t="s">
        <v>50</v>
      </c>
      <c r="C69" s="20">
        <f>SUM(C67:C68)</f>
        <v>41103.65</v>
      </c>
      <c r="D69" s="36">
        <f>SUM(D67:D68)</f>
        <v>895.45</v>
      </c>
      <c r="E69" s="20">
        <f>SUM(E67:E68)</f>
        <v>93228.45</v>
      </c>
      <c r="F69" s="19"/>
      <c r="G69" s="36">
        <f>SUM(G67:G68)</f>
        <v>0</v>
      </c>
      <c r="H69" s="36"/>
      <c r="I69" s="20">
        <f>SUM(I67:I68)</f>
        <v>97416.709999999992</v>
      </c>
      <c r="J69" s="20"/>
      <c r="K69" s="36">
        <v>0</v>
      </c>
      <c r="L69" s="58"/>
      <c r="M69" s="20">
        <f>SUM(M67:M68)</f>
        <v>103000</v>
      </c>
      <c r="N69" s="58"/>
      <c r="O69" s="58"/>
      <c r="P69" s="58"/>
      <c r="Q69" s="58"/>
      <c r="R69" s="22"/>
      <c r="S69" s="22"/>
      <c r="T69" s="22"/>
      <c r="U69" s="22"/>
      <c r="V69" s="22"/>
      <c r="W69" s="22"/>
      <c r="X69" s="22"/>
      <c r="Y69" s="22"/>
      <c r="Z69" s="22"/>
      <c r="AA69" s="22"/>
      <c r="AB69" s="17"/>
    </row>
    <row r="70" spans="1:34" ht="12.75" customHeight="1" x14ac:dyDescent="0.35">
      <c r="A70" s="53"/>
      <c r="C70" s="17"/>
      <c r="D70" s="37"/>
      <c r="E70" s="17"/>
      <c r="F70" s="17"/>
      <c r="G70" s="37"/>
      <c r="H70" s="37"/>
      <c r="I70" s="17"/>
      <c r="J70" s="17"/>
      <c r="K70" s="37"/>
      <c r="L70" s="37"/>
      <c r="M70" s="71"/>
      <c r="N70" s="37"/>
      <c r="O70" s="37"/>
      <c r="P70" s="37"/>
      <c r="Q70" s="37"/>
      <c r="R70" s="17"/>
      <c r="S70" s="17"/>
      <c r="T70" s="17"/>
      <c r="U70" s="17"/>
      <c r="V70" s="17"/>
      <c r="W70" s="17"/>
      <c r="X70" s="17"/>
      <c r="Y70" s="17"/>
      <c r="Z70" s="17"/>
      <c r="AA70" s="17"/>
    </row>
    <row r="71" spans="1:34" ht="12.75" customHeight="1" x14ac:dyDescent="0.35">
      <c r="A71" s="53">
        <v>5.4</v>
      </c>
      <c r="B71" s="3" t="s">
        <v>51</v>
      </c>
      <c r="C71" s="17"/>
      <c r="D71" s="37"/>
      <c r="E71" s="17"/>
      <c r="F71" s="17"/>
      <c r="G71" s="37"/>
      <c r="H71" s="37"/>
      <c r="I71" s="17"/>
      <c r="J71" s="17"/>
      <c r="K71" s="37"/>
      <c r="L71" s="37"/>
      <c r="M71" s="71"/>
      <c r="N71" s="37"/>
      <c r="O71" s="37"/>
      <c r="P71" s="37"/>
      <c r="Q71" s="37"/>
      <c r="R71" s="17"/>
      <c r="S71" s="17"/>
      <c r="T71" s="17"/>
      <c r="U71" s="17"/>
      <c r="V71" s="17"/>
      <c r="W71" s="17"/>
      <c r="X71" s="17"/>
      <c r="Y71" s="17"/>
      <c r="Z71" s="17"/>
      <c r="AA71" s="17"/>
    </row>
    <row r="72" spans="1:34" ht="12.75" customHeight="1" x14ac:dyDescent="0.35">
      <c r="A72" s="53"/>
      <c r="B72" s="1" t="s">
        <v>52</v>
      </c>
      <c r="C72" s="32">
        <v>0</v>
      </c>
      <c r="D72" s="35">
        <v>6480</v>
      </c>
      <c r="E72" s="32">
        <v>0</v>
      </c>
      <c r="F72" s="32"/>
      <c r="G72" s="35">
        <v>8554</v>
      </c>
      <c r="H72" s="35"/>
      <c r="I72" s="32">
        <v>0</v>
      </c>
      <c r="J72" s="32"/>
      <c r="K72" s="35">
        <v>9500</v>
      </c>
      <c r="L72" s="35"/>
      <c r="M72" s="32"/>
      <c r="N72" s="35" t="s">
        <v>211</v>
      </c>
      <c r="O72" s="35"/>
      <c r="P72" s="35"/>
      <c r="Q72" s="35"/>
      <c r="R72" s="17"/>
      <c r="S72" s="17"/>
      <c r="T72" s="17"/>
      <c r="U72" s="17"/>
      <c r="V72" s="17"/>
      <c r="W72" s="17"/>
      <c r="X72" s="17"/>
      <c r="Y72" s="17"/>
      <c r="Z72" s="17"/>
      <c r="AA72" s="17"/>
    </row>
    <row r="73" spans="1:34" ht="12.75" customHeight="1" x14ac:dyDescent="0.35">
      <c r="A73" s="53"/>
      <c r="B73" s="1" t="s">
        <v>53</v>
      </c>
      <c r="C73" s="32">
        <v>0</v>
      </c>
      <c r="D73" s="35">
        <v>71084</v>
      </c>
      <c r="E73" s="32">
        <v>-1750</v>
      </c>
      <c r="F73" s="32"/>
      <c r="G73" s="35">
        <v>112677</v>
      </c>
      <c r="H73" s="35"/>
      <c r="I73" s="32">
        <v>0</v>
      </c>
      <c r="J73" s="32"/>
      <c r="K73" s="35">
        <f>G73*1.05</f>
        <v>118310.85</v>
      </c>
      <c r="L73" s="35"/>
      <c r="M73" s="32"/>
      <c r="N73" s="35" t="s">
        <v>212</v>
      </c>
      <c r="O73" s="35"/>
      <c r="P73" s="35"/>
      <c r="Q73" s="35"/>
      <c r="R73" s="17"/>
      <c r="S73" s="17"/>
      <c r="T73" s="17"/>
      <c r="U73" s="17"/>
      <c r="V73" s="17"/>
      <c r="W73" s="17"/>
      <c r="X73" s="17"/>
      <c r="Y73" s="17"/>
      <c r="Z73" s="17"/>
      <c r="AA73" s="17"/>
    </row>
    <row r="74" spans="1:34" ht="12.75" customHeight="1" x14ac:dyDescent="0.35">
      <c r="A74" s="53"/>
      <c r="B74" s="5" t="s">
        <v>54</v>
      </c>
      <c r="C74" s="20">
        <f>SUM(C72:C73)</f>
        <v>0</v>
      </c>
      <c r="D74" s="36">
        <f>SUM(D72:D73)</f>
        <v>77564</v>
      </c>
      <c r="E74" s="20">
        <f>SUM(E72:E73)</f>
        <v>-1750</v>
      </c>
      <c r="F74" s="19"/>
      <c r="G74" s="36">
        <f>SUM(G72:G73)</f>
        <v>121231</v>
      </c>
      <c r="H74" s="36"/>
      <c r="I74" s="20">
        <f>SUM(I72:I73)</f>
        <v>0</v>
      </c>
      <c r="J74" s="20"/>
      <c r="K74" s="36">
        <f>SUM(K72:K73)</f>
        <v>127810.85</v>
      </c>
      <c r="L74" s="58"/>
      <c r="M74" s="95"/>
      <c r="N74" s="58"/>
      <c r="O74" s="58"/>
      <c r="P74" s="58"/>
      <c r="Q74" s="58"/>
      <c r="R74" s="22"/>
      <c r="S74" s="22"/>
      <c r="T74" s="22"/>
      <c r="U74" s="22"/>
      <c r="V74" s="22"/>
      <c r="W74" s="22"/>
      <c r="X74" s="22"/>
      <c r="Y74" s="22"/>
      <c r="Z74" s="22"/>
      <c r="AA74" s="22"/>
    </row>
    <row r="75" spans="1:34" ht="12.75" customHeight="1" x14ac:dyDescent="0.35">
      <c r="A75" s="53"/>
      <c r="C75" s="17"/>
      <c r="D75" s="37"/>
      <c r="E75" s="17"/>
      <c r="F75" s="17"/>
      <c r="G75" s="37"/>
      <c r="H75" s="37"/>
      <c r="I75" s="17"/>
      <c r="J75" s="17"/>
      <c r="K75" s="37"/>
      <c r="L75" s="37"/>
      <c r="M75" s="71"/>
      <c r="N75" s="37"/>
      <c r="O75" s="37"/>
      <c r="P75" s="37"/>
      <c r="Q75" s="37"/>
      <c r="R75" s="17"/>
      <c r="S75" s="17"/>
      <c r="T75" s="17"/>
      <c r="U75" s="17"/>
      <c r="V75" s="17"/>
      <c r="W75" s="17"/>
      <c r="X75" s="17"/>
      <c r="Y75" s="17"/>
      <c r="Z75" s="17"/>
      <c r="AA75" s="17"/>
    </row>
    <row r="76" spans="1:34" ht="12.75" customHeight="1" x14ac:dyDescent="0.35">
      <c r="A76" s="53">
        <v>5.5</v>
      </c>
      <c r="B76" s="3" t="s">
        <v>55</v>
      </c>
      <c r="C76" s="17"/>
      <c r="D76" s="37"/>
      <c r="E76" s="17"/>
      <c r="F76" s="17"/>
      <c r="G76" s="37"/>
      <c r="H76" s="37"/>
      <c r="I76" s="17"/>
      <c r="J76" s="17"/>
      <c r="K76" s="37"/>
      <c r="L76" s="37"/>
      <c r="M76" s="71"/>
      <c r="N76" s="37"/>
      <c r="O76" s="37"/>
      <c r="P76" s="37"/>
      <c r="Q76" s="37"/>
      <c r="R76" s="17"/>
      <c r="S76" s="17"/>
      <c r="T76" s="17"/>
      <c r="U76" s="17"/>
      <c r="V76" s="17"/>
      <c r="W76" s="17"/>
      <c r="X76" s="17"/>
      <c r="Y76" s="17"/>
      <c r="Z76" s="17"/>
      <c r="AA76" s="17"/>
      <c r="AH76">
        <v>100</v>
      </c>
    </row>
    <row r="77" spans="1:34" ht="12.75" customHeight="1" x14ac:dyDescent="0.35">
      <c r="A77" s="53"/>
      <c r="B77" s="1" t="s">
        <v>56</v>
      </c>
      <c r="C77" s="32">
        <v>0</v>
      </c>
      <c r="D77" s="35">
        <v>106264.3</v>
      </c>
      <c r="E77" s="32">
        <v>0</v>
      </c>
      <c r="F77" s="32"/>
      <c r="G77" s="35">
        <v>148964</v>
      </c>
      <c r="H77" s="35"/>
      <c r="I77" s="32">
        <v>0</v>
      </c>
      <c r="J77" s="32"/>
      <c r="K77" s="35">
        <f>116000*1.02</f>
        <v>118320</v>
      </c>
      <c r="L77" s="35"/>
      <c r="M77" s="32">
        <f>I77*1.02</f>
        <v>0</v>
      </c>
      <c r="N77" s="35" t="s">
        <v>216</v>
      </c>
      <c r="O77" s="35"/>
      <c r="P77" s="35"/>
      <c r="Q77" s="35"/>
      <c r="R77" s="97" t="s">
        <v>222</v>
      </c>
      <c r="S77" s="17"/>
      <c r="T77" s="17"/>
      <c r="U77" s="17"/>
      <c r="V77" s="17"/>
      <c r="W77" s="17"/>
      <c r="X77" s="17"/>
      <c r="Y77" s="17"/>
      <c r="Z77" s="17"/>
      <c r="AA77" s="17"/>
    </row>
    <row r="78" spans="1:34" ht="12.75" customHeight="1" x14ac:dyDescent="0.35">
      <c r="A78" s="53"/>
      <c r="B78" s="1" t="s">
        <v>57</v>
      </c>
      <c r="C78" s="32">
        <v>0</v>
      </c>
      <c r="D78" s="35">
        <v>80259.28</v>
      </c>
      <c r="E78" s="32">
        <v>0</v>
      </c>
      <c r="F78" s="32"/>
      <c r="G78" s="35">
        <v>73000</v>
      </c>
      <c r="H78" s="35"/>
      <c r="I78" s="32">
        <v>0</v>
      </c>
      <c r="J78" s="32"/>
      <c r="K78" s="35">
        <f>82000*1.02</f>
        <v>83640</v>
      </c>
      <c r="L78" s="35"/>
      <c r="M78" s="32">
        <f>I78*1.02</f>
        <v>0</v>
      </c>
      <c r="N78" s="35" t="s">
        <v>217</v>
      </c>
      <c r="O78" s="35"/>
      <c r="P78" s="35"/>
      <c r="Q78" s="35"/>
      <c r="R78" s="17"/>
      <c r="S78" s="17"/>
      <c r="T78" s="17"/>
      <c r="U78" s="17"/>
      <c r="V78" s="17"/>
      <c r="W78" s="17"/>
      <c r="X78" s="17"/>
      <c r="Y78" s="17"/>
      <c r="Z78" s="17"/>
      <c r="AA78" s="17"/>
    </row>
    <row r="79" spans="1:34" ht="12.75" customHeight="1" x14ac:dyDescent="0.35">
      <c r="A79" s="53"/>
      <c r="B79" s="5" t="s">
        <v>58</v>
      </c>
      <c r="C79" s="20">
        <f>SUM(C77:C78)</f>
        <v>0</v>
      </c>
      <c r="D79" s="36">
        <f>SUM(D77:D78)</f>
        <v>186523.58000000002</v>
      </c>
      <c r="E79" s="20">
        <f>SUM(E77:E78)</f>
        <v>0</v>
      </c>
      <c r="F79" s="19"/>
      <c r="G79" s="36">
        <f>SUM(G77:G78)</f>
        <v>221964</v>
      </c>
      <c r="H79" s="36"/>
      <c r="I79" s="20">
        <f>SUM(I77:I78)</f>
        <v>0</v>
      </c>
      <c r="J79" s="20"/>
      <c r="K79" s="36">
        <f>SUM(K77:K78)</f>
        <v>201960</v>
      </c>
      <c r="L79" s="58"/>
      <c r="M79" s="20">
        <f>SUM(M77:M78)</f>
        <v>0</v>
      </c>
      <c r="N79" s="58"/>
      <c r="O79" s="58"/>
      <c r="P79" s="58"/>
      <c r="Q79" s="58"/>
      <c r="R79" s="22"/>
      <c r="S79" s="22"/>
      <c r="T79" s="22"/>
      <c r="U79" s="22"/>
      <c r="V79" s="22"/>
      <c r="W79" s="22"/>
      <c r="X79" s="22"/>
      <c r="Y79" s="22"/>
      <c r="Z79" s="22"/>
      <c r="AA79" s="22"/>
    </row>
    <row r="80" spans="1:34" ht="12.75" customHeight="1" x14ac:dyDescent="0.35">
      <c r="A80" s="53"/>
      <c r="C80" s="17"/>
      <c r="D80" s="37"/>
      <c r="E80" s="17"/>
      <c r="F80" s="17"/>
      <c r="G80" s="37"/>
      <c r="H80" s="37"/>
      <c r="I80" s="17"/>
      <c r="J80" s="17"/>
      <c r="K80" s="37"/>
      <c r="L80" s="37"/>
      <c r="M80" s="71"/>
      <c r="N80" s="37"/>
      <c r="O80" s="37"/>
      <c r="P80" s="37"/>
      <c r="Q80" s="37"/>
      <c r="R80" s="17"/>
      <c r="S80" s="17"/>
      <c r="T80" s="17"/>
      <c r="U80" s="17"/>
      <c r="V80" s="17"/>
      <c r="W80" s="17"/>
      <c r="X80" s="17"/>
      <c r="Y80" s="17"/>
      <c r="Z80" s="17"/>
      <c r="AA80" s="17"/>
    </row>
    <row r="81" spans="1:30" ht="12.75" customHeight="1" x14ac:dyDescent="0.35">
      <c r="A81" s="53">
        <v>5.6</v>
      </c>
      <c r="B81" s="3" t="s">
        <v>59</v>
      </c>
      <c r="C81" s="32"/>
      <c r="D81" s="35"/>
      <c r="E81" s="32"/>
      <c r="F81" s="32"/>
      <c r="G81" s="35"/>
      <c r="H81" s="35"/>
      <c r="I81" s="32"/>
      <c r="J81" s="32"/>
      <c r="K81" s="35"/>
      <c r="L81" s="35"/>
      <c r="M81" s="32"/>
      <c r="N81" s="35"/>
      <c r="O81" s="35"/>
      <c r="P81" s="35"/>
      <c r="Q81" s="35"/>
      <c r="R81" s="17"/>
      <c r="S81" s="17"/>
      <c r="T81" s="17"/>
      <c r="U81" s="17"/>
      <c r="V81" s="17"/>
      <c r="W81" s="17"/>
      <c r="X81" s="17"/>
      <c r="Y81" s="17"/>
      <c r="Z81" s="17"/>
      <c r="AA81" s="17"/>
    </row>
    <row r="82" spans="1:30" ht="12.75" customHeight="1" x14ac:dyDescent="0.35">
      <c r="A82" s="53"/>
      <c r="B82" s="1" t="s">
        <v>205</v>
      </c>
      <c r="C82" s="32">
        <v>0</v>
      </c>
      <c r="D82" s="35">
        <v>0</v>
      </c>
      <c r="E82" s="32">
        <v>15145.37</v>
      </c>
      <c r="F82" s="32"/>
      <c r="G82" s="35">
        <v>5729</v>
      </c>
      <c r="H82" s="63" t="s">
        <v>183</v>
      </c>
      <c r="I82" s="63">
        <f>900*150</f>
        <v>135000</v>
      </c>
      <c r="J82" s="32"/>
      <c r="K82" s="35"/>
      <c r="L82" s="35"/>
      <c r="M82" s="96">
        <v>5000</v>
      </c>
      <c r="N82" s="35" t="s">
        <v>190</v>
      </c>
      <c r="O82" s="35"/>
      <c r="P82" s="35"/>
      <c r="Q82" s="35"/>
      <c r="R82" s="18"/>
      <c r="S82" s="18"/>
      <c r="T82" s="18"/>
      <c r="U82" s="18"/>
      <c r="V82" s="18"/>
      <c r="W82" s="18"/>
      <c r="X82" s="18"/>
      <c r="Y82" s="18"/>
      <c r="Z82" s="18"/>
      <c r="AA82" s="18"/>
    </row>
    <row r="83" spans="1:30" ht="12.75" customHeight="1" x14ac:dyDescent="0.35">
      <c r="A83" s="53"/>
      <c r="B83" s="1" t="s">
        <v>60</v>
      </c>
      <c r="C83" s="32">
        <v>45.45</v>
      </c>
      <c r="D83" s="35">
        <v>9168.18</v>
      </c>
      <c r="E83" s="32">
        <v>2449</v>
      </c>
      <c r="F83" s="32"/>
      <c r="G83" s="35"/>
      <c r="H83" s="35"/>
      <c r="I83" s="32"/>
      <c r="J83" s="32"/>
      <c r="K83" s="35"/>
      <c r="L83" s="35"/>
      <c r="M83" s="32"/>
      <c r="N83" s="35"/>
      <c r="O83" s="35"/>
      <c r="P83" s="35"/>
      <c r="Q83" s="35"/>
      <c r="R83" s="17"/>
      <c r="S83" s="17"/>
      <c r="T83" s="17"/>
      <c r="U83" s="17"/>
      <c r="V83" s="17"/>
      <c r="W83" s="17"/>
      <c r="X83" s="17"/>
      <c r="Y83" s="17"/>
      <c r="Z83" s="17"/>
      <c r="AA83" s="17"/>
    </row>
    <row r="84" spans="1:30" ht="12.75" customHeight="1" x14ac:dyDescent="0.35">
      <c r="A84" s="53"/>
      <c r="B84" s="5" t="s">
        <v>61</v>
      </c>
      <c r="C84" s="20">
        <f>SUM(C82:C83)</f>
        <v>45.45</v>
      </c>
      <c r="D84" s="36">
        <f>SUM(D82:D83)</f>
        <v>9168.18</v>
      </c>
      <c r="E84" s="20">
        <f>SUM(E82:E83)</f>
        <v>17594.370000000003</v>
      </c>
      <c r="F84" s="19"/>
      <c r="G84" s="36">
        <f>SUM(G82:G83)</f>
        <v>5729</v>
      </c>
      <c r="H84" s="36"/>
      <c r="I84" s="20">
        <f>SUM(I82:I83)</f>
        <v>135000</v>
      </c>
      <c r="J84" s="20"/>
      <c r="K84" s="36">
        <f>SUM(K82:K83)</f>
        <v>0</v>
      </c>
      <c r="L84" s="58"/>
      <c r="M84" s="20">
        <f>SUM(M82:M83)</f>
        <v>5000</v>
      </c>
      <c r="N84" s="58"/>
      <c r="O84" s="58"/>
      <c r="P84" s="58"/>
      <c r="Q84" s="58"/>
      <c r="R84" s="22"/>
      <c r="S84" s="22"/>
      <c r="T84" s="22"/>
      <c r="U84" s="22"/>
      <c r="V84" s="22"/>
      <c r="W84" s="22"/>
      <c r="X84" s="22"/>
      <c r="Y84" s="22"/>
      <c r="Z84" s="22"/>
      <c r="AA84" s="22"/>
    </row>
    <row r="85" spans="1:30" ht="12.75" customHeight="1" x14ac:dyDescent="0.35">
      <c r="A85" s="53"/>
      <c r="C85" s="17"/>
      <c r="D85" s="37"/>
      <c r="E85" s="17"/>
      <c r="F85" s="17"/>
      <c r="G85" s="37"/>
      <c r="H85" s="37"/>
      <c r="I85" s="17"/>
      <c r="J85" s="17"/>
      <c r="K85" s="37"/>
      <c r="L85" s="37"/>
      <c r="M85" s="71"/>
      <c r="N85" s="37"/>
      <c r="O85" s="37"/>
      <c r="P85" s="37"/>
      <c r="Q85" s="37"/>
      <c r="R85" s="17"/>
      <c r="S85" s="17"/>
      <c r="T85" s="17"/>
      <c r="U85" s="17"/>
      <c r="V85" s="17"/>
      <c r="W85" s="17"/>
      <c r="X85" s="17"/>
      <c r="Y85" s="17"/>
      <c r="Z85" s="17"/>
      <c r="AA85" s="17"/>
    </row>
    <row r="86" spans="1:30" ht="12.75" customHeight="1" thickBot="1" x14ac:dyDescent="0.4">
      <c r="A86" s="53"/>
      <c r="B86" s="6" t="s">
        <v>62</v>
      </c>
      <c r="C86" s="16">
        <f>(0+((C61))+(C64)+(C69)+(C74)+(C79)+(C84))-(0)</f>
        <v>58252.53</v>
      </c>
      <c r="D86" s="38">
        <f>(0+((D61))+(D64)+(D69)+(D74)+(D79)+(D84))-(0)</f>
        <v>274151.21000000002</v>
      </c>
      <c r="E86" s="16">
        <f>(0+((E61))+(E64)+(E69)+(E74)+(E79)+(E84))-(0)</f>
        <v>139448.82</v>
      </c>
      <c r="F86" s="19"/>
      <c r="G86" s="38">
        <f>(0+((G61))+(G64)+(G69)+(G74)+(G79)+(G84))-(0)</f>
        <v>459079</v>
      </c>
      <c r="H86" s="38"/>
      <c r="I86" s="16">
        <f>(0+((I61))+(I64)+(I69)+(I74)+(I79)+(I84))-(0)</f>
        <v>266416.70999999996</v>
      </c>
      <c r="J86" s="16"/>
      <c r="K86" s="38">
        <f>(0+((K61))+(K64)+(K69)+(K74)+(K79)+(K84))-(0)</f>
        <v>364770.85</v>
      </c>
      <c r="L86" s="58"/>
      <c r="M86" s="16">
        <f>(0+((M61))+(M64)+(M69)+(M74)+(M79)+(M84))-(0)</f>
        <v>144000</v>
      </c>
      <c r="N86" s="58"/>
      <c r="O86" s="58"/>
      <c r="P86" s="58"/>
      <c r="Q86" s="58"/>
      <c r="R86" s="22"/>
      <c r="S86" s="22"/>
      <c r="T86" s="22"/>
      <c r="U86" s="22"/>
      <c r="V86" s="22"/>
      <c r="W86" s="22"/>
      <c r="X86" s="22"/>
      <c r="Y86" s="22"/>
      <c r="Z86" s="22"/>
      <c r="AA86" s="22"/>
    </row>
    <row r="87" spans="1:30" ht="12.75" customHeight="1" thickTop="1" x14ac:dyDescent="0.35">
      <c r="A87" s="53"/>
      <c r="C87" s="17"/>
      <c r="D87" s="37"/>
      <c r="E87" s="17"/>
      <c r="F87" s="17"/>
      <c r="G87" s="37"/>
      <c r="H87" s="37"/>
      <c r="I87" s="17"/>
      <c r="J87" s="17"/>
      <c r="K87" s="37"/>
      <c r="L87" s="37"/>
      <c r="M87" s="71"/>
      <c r="N87" s="37"/>
      <c r="O87" s="37"/>
      <c r="P87" s="37"/>
      <c r="Q87" s="37"/>
      <c r="R87" s="17"/>
      <c r="S87" s="17"/>
      <c r="T87" s="17"/>
      <c r="U87" s="17"/>
      <c r="V87" s="17"/>
      <c r="W87" s="17"/>
      <c r="X87" s="17"/>
      <c r="Y87" s="17"/>
      <c r="Z87" s="17"/>
      <c r="AA87" s="17"/>
    </row>
    <row r="88" spans="1:30" ht="12.75" customHeight="1" thickBot="1" x14ac:dyDescent="0.4">
      <c r="A88" s="53"/>
      <c r="B88" s="6" t="s">
        <v>63</v>
      </c>
      <c r="C88" s="16">
        <f>(0+(0)+(C19)+(C58)+(C52)+(C86))-(0)</f>
        <v>511062.99</v>
      </c>
      <c r="D88" s="38">
        <f>(0+(0)+(D19)+(D58)+(D52)+(D86))-(0)</f>
        <v>850866.40000000014</v>
      </c>
      <c r="E88" s="16">
        <f>(0+(0)+(E19)+(E58)+(E52)+(E86))-(0)</f>
        <v>721981.52</v>
      </c>
      <c r="F88" s="19"/>
      <c r="G88" s="38">
        <f>(0+(0)+(G19)+(G58)+(G52)+(G86))-(0)</f>
        <v>1050668.3494690908</v>
      </c>
      <c r="H88" s="38"/>
      <c r="I88" s="16">
        <f>(0+(0)+(I19)+(I58)+(I52)+(I86))-(0)</f>
        <v>879912.47745454544</v>
      </c>
      <c r="J88" s="16"/>
      <c r="K88" s="38">
        <f>(0+(0)+(K19)+(K58)+(K52)+(K86))-(0)</f>
        <v>998041.4058272728</v>
      </c>
      <c r="L88" s="58"/>
      <c r="M88" s="16">
        <f>(0+(0)+(M19)+(M58)+(M52)+(M86))-(0)</f>
        <v>801711.38361863652</v>
      </c>
      <c r="N88" s="58"/>
      <c r="O88" s="58"/>
      <c r="P88" s="58"/>
      <c r="Q88" s="58"/>
      <c r="R88" s="22"/>
      <c r="S88" s="22"/>
      <c r="T88" s="22"/>
      <c r="U88" s="22"/>
      <c r="V88" s="22"/>
      <c r="W88" s="22"/>
      <c r="X88" s="22"/>
      <c r="Y88" s="22"/>
      <c r="Z88" s="22"/>
      <c r="AA88" s="22"/>
    </row>
    <row r="89" spans="1:30" ht="12.75" customHeight="1" thickTop="1" x14ac:dyDescent="0.35">
      <c r="A89" s="53"/>
      <c r="C89" s="17"/>
      <c r="D89" s="37"/>
      <c r="E89" s="17"/>
      <c r="F89" s="17"/>
      <c r="G89" s="37"/>
      <c r="H89" s="37"/>
      <c r="I89" s="17"/>
      <c r="J89" s="17"/>
      <c r="K89" s="37"/>
      <c r="L89" s="37"/>
      <c r="M89" s="71"/>
      <c r="N89" s="37"/>
      <c r="O89" s="37"/>
      <c r="P89" s="37"/>
      <c r="Q89" s="37"/>
      <c r="R89" s="17"/>
      <c r="S89" s="17"/>
      <c r="T89" s="17"/>
      <c r="U89" s="17"/>
      <c r="V89" s="17"/>
      <c r="W89" s="17"/>
      <c r="X89" s="17"/>
      <c r="Y89" s="17"/>
      <c r="Z89" s="17"/>
      <c r="AA89" s="17"/>
    </row>
    <row r="90" spans="1:30" ht="12.75" customHeight="1" thickBot="1" x14ac:dyDescent="0.4">
      <c r="A90" s="53"/>
      <c r="B90" s="6" t="s">
        <v>64</v>
      </c>
      <c r="C90" s="8">
        <f>(C88)-(0)</f>
        <v>511062.99</v>
      </c>
      <c r="D90" s="39">
        <f>(D88)-(0)</f>
        <v>850866.40000000014</v>
      </c>
      <c r="E90" s="8">
        <f>(E88)-(0)</f>
        <v>721981.52</v>
      </c>
      <c r="F90" s="2"/>
      <c r="G90" s="38">
        <f>(G88)-(0)</f>
        <v>1050668.3494690908</v>
      </c>
      <c r="H90" s="38"/>
      <c r="I90" s="38">
        <f>(I88)-(0)</f>
        <v>879912.47745454544</v>
      </c>
      <c r="J90" s="16"/>
      <c r="K90" s="38">
        <f>(K88)-(0)</f>
        <v>998041.4058272728</v>
      </c>
      <c r="L90" s="58"/>
      <c r="M90" s="16">
        <f>(M88)-(0)</f>
        <v>801711.38361863652</v>
      </c>
      <c r="N90" s="58"/>
      <c r="O90" s="58"/>
      <c r="P90" s="58"/>
      <c r="Q90" s="58"/>
      <c r="R90" s="22"/>
      <c r="S90" s="22"/>
      <c r="T90" s="22"/>
      <c r="U90" s="22"/>
      <c r="V90" s="22"/>
      <c r="W90" s="22"/>
      <c r="X90" s="22"/>
      <c r="Y90" s="22"/>
      <c r="Z90" s="22"/>
      <c r="AA90" s="22"/>
      <c r="AD90" s="14"/>
    </row>
    <row r="91" spans="1:30" ht="12.75" customHeight="1" thickTop="1" x14ac:dyDescent="0.35">
      <c r="A91" s="53"/>
    </row>
    <row r="92" spans="1:30" ht="12.75" customHeight="1" x14ac:dyDescent="0.35">
      <c r="A92" s="53"/>
      <c r="B92" s="3" t="s">
        <v>65</v>
      </c>
      <c r="M92" s="71"/>
    </row>
    <row r="93" spans="1:30" ht="12.75" customHeight="1" x14ac:dyDescent="0.35">
      <c r="A93" s="53"/>
    </row>
    <row r="94" spans="1:30" ht="12.75" customHeight="1" x14ac:dyDescent="0.35">
      <c r="A94" s="53">
        <v>6</v>
      </c>
      <c r="B94" s="3" t="s">
        <v>66</v>
      </c>
      <c r="H94"/>
      <c r="L94"/>
    </row>
    <row r="95" spans="1:30" ht="12.75" customHeight="1" x14ac:dyDescent="0.35">
      <c r="A95" s="53">
        <v>6.1</v>
      </c>
      <c r="B95" s="1" t="s">
        <v>220</v>
      </c>
      <c r="C95" s="32">
        <v>0</v>
      </c>
      <c r="D95" s="35">
        <v>0</v>
      </c>
      <c r="E95" s="32">
        <v>14859.82</v>
      </c>
      <c r="F95" s="64">
        <v>14700</v>
      </c>
      <c r="G95" s="35">
        <v>18200</v>
      </c>
      <c r="I95" s="32">
        <v>21000</v>
      </c>
      <c r="J95" s="32"/>
      <c r="K95" s="35">
        <f>I95*1.02</f>
        <v>21420</v>
      </c>
      <c r="L95" s="32"/>
      <c r="M95" s="32">
        <f>K95*1.02</f>
        <v>21848.400000000001</v>
      </c>
      <c r="N95" s="35" t="s">
        <v>191</v>
      </c>
      <c r="O95" s="35"/>
      <c r="P95" s="35"/>
      <c r="Q95" s="35"/>
      <c r="R95" s="1"/>
      <c r="S95" s="1"/>
      <c r="T95" s="1"/>
      <c r="U95" s="1"/>
      <c r="V95" s="1"/>
      <c r="W95" s="1"/>
      <c r="X95" s="1"/>
      <c r="Y95" s="1"/>
      <c r="Z95" s="1"/>
      <c r="AA95" s="1"/>
    </row>
    <row r="96" spans="1:30" ht="12.75" customHeight="1" x14ac:dyDescent="0.35">
      <c r="A96" s="53">
        <v>6.2</v>
      </c>
      <c r="B96" s="1" t="s">
        <v>68</v>
      </c>
      <c r="C96" s="32">
        <v>31788.2</v>
      </c>
      <c r="D96" s="35">
        <v>53513</v>
      </c>
      <c r="E96" s="32">
        <v>50666.52</v>
      </c>
      <c r="F96" s="64">
        <v>24500</v>
      </c>
      <c r="G96" s="35">
        <v>35000</v>
      </c>
      <c r="I96" s="32">
        <f>G96*1.02</f>
        <v>35700</v>
      </c>
      <c r="J96" s="32"/>
      <c r="K96" s="32">
        <f>I96*1.02</f>
        <v>36414</v>
      </c>
      <c r="L96" s="32"/>
      <c r="M96" s="32">
        <f>K96*1.02</f>
        <v>37142.28</v>
      </c>
      <c r="N96" s="35" t="s">
        <v>192</v>
      </c>
      <c r="O96" s="35"/>
      <c r="P96" s="35"/>
      <c r="Q96" s="35"/>
      <c r="R96" s="1"/>
      <c r="S96" s="1"/>
      <c r="T96" s="1"/>
      <c r="U96" s="1"/>
      <c r="V96" s="1"/>
      <c r="W96" s="1"/>
      <c r="X96" s="1"/>
      <c r="Y96" s="1"/>
      <c r="Z96" s="1"/>
      <c r="AA96" s="1"/>
    </row>
    <row r="97" spans="1:29" ht="12.75" customHeight="1" x14ac:dyDescent="0.35">
      <c r="A97" s="53"/>
      <c r="H97"/>
      <c r="L97"/>
    </row>
    <row r="98" spans="1:29" ht="12.75" customHeight="1" x14ac:dyDescent="0.35">
      <c r="A98" s="53">
        <v>7</v>
      </c>
      <c r="B98" s="3" t="s">
        <v>69</v>
      </c>
      <c r="H98"/>
      <c r="L98"/>
    </row>
    <row r="99" spans="1:29" ht="12.75" customHeight="1" x14ac:dyDescent="0.35">
      <c r="A99" s="53"/>
      <c r="B99" s="1" t="s">
        <v>70</v>
      </c>
      <c r="C99" s="1">
        <v>10781.65</v>
      </c>
      <c r="D99" s="40">
        <v>28145.72</v>
      </c>
      <c r="E99" s="1">
        <v>7276.29</v>
      </c>
      <c r="F99" s="64">
        <v>11783.060000000001</v>
      </c>
      <c r="G99" s="40">
        <v>15000</v>
      </c>
      <c r="H99" s="2"/>
      <c r="I99" s="65">
        <v>10000</v>
      </c>
      <c r="J99" s="2"/>
      <c r="K99" s="65">
        <v>8000</v>
      </c>
      <c r="L99" s="2"/>
      <c r="M99" s="1">
        <v>10000</v>
      </c>
      <c r="N99" s="65" t="s">
        <v>193</v>
      </c>
      <c r="O99" s="65"/>
      <c r="P99" s="65"/>
      <c r="Q99" s="65"/>
      <c r="R99" s="1"/>
      <c r="S99" s="1"/>
      <c r="T99" s="1"/>
      <c r="U99" s="1"/>
      <c r="V99" s="1"/>
      <c r="W99" s="1"/>
      <c r="X99" s="1"/>
      <c r="Y99" s="1"/>
      <c r="Z99" s="1"/>
      <c r="AA99" s="1"/>
    </row>
    <row r="100" spans="1:29" ht="12.75" customHeight="1" x14ac:dyDescent="0.35">
      <c r="A100" s="53"/>
      <c r="B100" s="5" t="s">
        <v>71</v>
      </c>
      <c r="C100" s="7">
        <f>SUM(C99:C99)</f>
        <v>10781.65</v>
      </c>
      <c r="D100" s="41">
        <f>SUM(D99:D99)</f>
        <v>28145.72</v>
      </c>
      <c r="E100" s="7">
        <f>SUM(E99:E99)</f>
        <v>7276.29</v>
      </c>
      <c r="F100" s="2"/>
      <c r="G100" s="41">
        <f>SUM(G99:G99)</f>
        <v>15000</v>
      </c>
      <c r="H100" s="2"/>
      <c r="I100" s="7">
        <f>SUM(I99:I99)</f>
        <v>10000</v>
      </c>
      <c r="J100" s="2"/>
      <c r="K100" s="41">
        <f>SUM(K99:K99)</f>
        <v>8000</v>
      </c>
      <c r="L100" s="2"/>
      <c r="M100" s="7">
        <f>SUM(M99:M99)</f>
        <v>10000</v>
      </c>
      <c r="N100" s="67"/>
      <c r="O100" s="67"/>
      <c r="P100" s="67"/>
      <c r="Q100" s="67"/>
      <c r="R100" s="3"/>
      <c r="S100" s="3"/>
      <c r="T100" s="3"/>
      <c r="U100" s="3"/>
      <c r="V100" s="3"/>
      <c r="W100" s="3"/>
      <c r="X100" s="3"/>
      <c r="Y100" s="3"/>
      <c r="Z100" s="3"/>
      <c r="AA100" s="3"/>
    </row>
    <row r="101" spans="1:29" ht="12.75" customHeight="1" x14ac:dyDescent="0.35">
      <c r="A101" s="53"/>
      <c r="H101"/>
      <c r="L101"/>
    </row>
    <row r="102" spans="1:29" ht="12.75" customHeight="1" thickBot="1" x14ac:dyDescent="0.4">
      <c r="A102" s="53"/>
      <c r="B102" s="6" t="s">
        <v>72</v>
      </c>
      <c r="C102" s="8">
        <f>(0+((C95+C96))+(C100))-(0)</f>
        <v>42569.85</v>
      </c>
      <c r="D102" s="39">
        <f>(0+((D95+D96))+(D100))-(0)</f>
        <v>81658.720000000001</v>
      </c>
      <c r="E102" s="8">
        <f>(0+((E95+E96))+(E100))-(0)</f>
        <v>72802.62999999999</v>
      </c>
      <c r="F102" s="62">
        <f>E102</f>
        <v>72802.62999999999</v>
      </c>
      <c r="G102" s="39">
        <f>(0+((G95+G96))+(G100))-(0)</f>
        <v>68200</v>
      </c>
      <c r="H102" s="62">
        <f>G102</f>
        <v>68200</v>
      </c>
      <c r="I102" s="8">
        <f>(0+((I95+I96))+(I100))-(0)</f>
        <v>66700</v>
      </c>
      <c r="J102" s="62">
        <f>I102</f>
        <v>66700</v>
      </c>
      <c r="K102" s="39">
        <f>(0+((K95+K96))+(K100))-(0)</f>
        <v>65834</v>
      </c>
      <c r="L102" s="62">
        <f>K102</f>
        <v>65834</v>
      </c>
      <c r="M102" s="8">
        <f>(0+((M95+M96))+(M100))-(0)</f>
        <v>68990.679999999993</v>
      </c>
      <c r="N102" s="67"/>
      <c r="O102" s="67"/>
      <c r="P102" s="67"/>
      <c r="Q102" s="67"/>
      <c r="R102" s="3"/>
      <c r="S102" s="3"/>
      <c r="T102" s="3"/>
      <c r="U102" s="3"/>
      <c r="V102" s="3"/>
      <c r="W102" s="3"/>
      <c r="X102" s="3"/>
      <c r="Y102" s="3"/>
      <c r="Z102" s="3"/>
      <c r="AA102" s="3"/>
      <c r="AC102" s="14">
        <f>G102/4</f>
        <v>17050</v>
      </c>
    </row>
    <row r="103" spans="1:29" ht="12.75" customHeight="1" thickTop="1" x14ac:dyDescent="0.35">
      <c r="A103" s="53"/>
      <c r="H103"/>
      <c r="L103"/>
    </row>
    <row r="104" spans="1:29" ht="12.75" customHeight="1" x14ac:dyDescent="0.35">
      <c r="A104" s="53">
        <v>8</v>
      </c>
      <c r="B104" s="3" t="s">
        <v>73</v>
      </c>
      <c r="H104"/>
      <c r="L104"/>
      <c r="N104" s="67"/>
      <c r="O104" s="67"/>
      <c r="P104" s="67"/>
      <c r="Q104" s="67"/>
    </row>
    <row r="105" spans="1:29" ht="12.75" customHeight="1" x14ac:dyDescent="0.35">
      <c r="A105" s="53"/>
      <c r="B105" s="1" t="s">
        <v>74</v>
      </c>
      <c r="C105" s="32">
        <v>11116.76</v>
      </c>
      <c r="D105" s="35">
        <v>13133.59</v>
      </c>
      <c r="E105" s="32">
        <v>10183.49</v>
      </c>
      <c r="F105" s="64">
        <v>8306.3700000000008</v>
      </c>
      <c r="G105" s="35">
        <v>10600</v>
      </c>
      <c r="H105" s="32"/>
      <c r="I105" s="32">
        <v>10500</v>
      </c>
      <c r="J105" s="32"/>
      <c r="K105" s="63">
        <f>I105*1.05</f>
        <v>11025</v>
      </c>
      <c r="L105" s="32"/>
      <c r="M105" s="32">
        <f>K105*1.05</f>
        <v>11576.25</v>
      </c>
      <c r="N105" s="67"/>
      <c r="O105" s="67"/>
      <c r="P105" s="67"/>
      <c r="Q105" s="67"/>
      <c r="R105" s="1"/>
      <c r="S105" s="1"/>
      <c r="T105" s="1"/>
      <c r="U105" s="1"/>
      <c r="V105" s="1"/>
      <c r="W105" s="1"/>
      <c r="X105" s="1"/>
      <c r="Y105" s="1"/>
      <c r="Z105" s="1"/>
      <c r="AA105" s="1"/>
    </row>
    <row r="106" spans="1:29" ht="12.75" customHeight="1" x14ac:dyDescent="0.35">
      <c r="A106" s="53"/>
      <c r="B106" s="1" t="s">
        <v>75</v>
      </c>
      <c r="C106" s="32">
        <v>384</v>
      </c>
      <c r="D106" s="35">
        <v>342</v>
      </c>
      <c r="E106" s="32">
        <v>47</v>
      </c>
      <c r="F106" s="64">
        <v>949.49999999999989</v>
      </c>
      <c r="G106" s="35">
        <v>342</v>
      </c>
      <c r="H106" s="32"/>
      <c r="I106" s="63">
        <v>950</v>
      </c>
      <c r="J106" s="32"/>
      <c r="K106" s="35">
        <f>I106*1.02</f>
        <v>969</v>
      </c>
      <c r="L106" s="32"/>
      <c r="M106" s="35">
        <f>K106*1.02</f>
        <v>988.38</v>
      </c>
      <c r="N106" s="67" t="s">
        <v>194</v>
      </c>
      <c r="O106" s="67"/>
      <c r="P106" s="67"/>
      <c r="Q106" s="67"/>
      <c r="R106" s="1"/>
      <c r="S106" s="1"/>
      <c r="T106" s="1"/>
      <c r="U106" s="1"/>
      <c r="V106" s="1"/>
      <c r="W106" s="1"/>
      <c r="X106" s="1"/>
      <c r="Y106" s="1"/>
      <c r="Z106" s="1"/>
      <c r="AA106" s="1"/>
    </row>
    <row r="107" spans="1:29" ht="12.75" customHeight="1" x14ac:dyDescent="0.35">
      <c r="A107" s="53"/>
      <c r="B107" s="1" t="s">
        <v>76</v>
      </c>
      <c r="C107" s="32">
        <v>7454.24</v>
      </c>
      <c r="D107" s="35">
        <v>4785.18</v>
      </c>
      <c r="E107" s="32">
        <v>4138.21</v>
      </c>
      <c r="F107" s="64">
        <v>6576.6699999999992</v>
      </c>
      <c r="G107" s="35">
        <v>4700</v>
      </c>
      <c r="H107" s="32"/>
      <c r="I107" s="63">
        <v>7000</v>
      </c>
      <c r="J107" s="32"/>
      <c r="K107" s="63">
        <f>I107*1.05</f>
        <v>7350</v>
      </c>
      <c r="L107" s="32"/>
      <c r="M107" s="32">
        <f>K107*1.05</f>
        <v>7717.5</v>
      </c>
      <c r="N107" s="67" t="s">
        <v>195</v>
      </c>
      <c r="O107" s="67"/>
      <c r="P107" s="67"/>
      <c r="Q107" s="67"/>
      <c r="R107" s="1"/>
      <c r="S107" s="1"/>
      <c r="T107" s="1"/>
      <c r="U107" s="1"/>
      <c r="V107" s="1"/>
      <c r="W107" s="1"/>
      <c r="X107" s="1"/>
      <c r="Y107" s="1"/>
      <c r="Z107" s="1"/>
      <c r="AA107" s="1"/>
    </row>
    <row r="108" spans="1:29" ht="12.75" customHeight="1" x14ac:dyDescent="0.35">
      <c r="A108" s="53"/>
      <c r="B108" s="1" t="s">
        <v>77</v>
      </c>
      <c r="C108" s="32">
        <v>145.12</v>
      </c>
      <c r="D108" s="35">
        <v>0</v>
      </c>
      <c r="E108" s="32">
        <v>0</v>
      </c>
      <c r="F108" s="64"/>
      <c r="G108" s="35">
        <v>0</v>
      </c>
      <c r="H108" s="32"/>
      <c r="I108" s="32">
        <v>0</v>
      </c>
      <c r="J108" s="32"/>
      <c r="K108" s="35">
        <v>0</v>
      </c>
      <c r="L108" s="32"/>
      <c r="M108" s="32">
        <v>0</v>
      </c>
      <c r="N108" s="67"/>
      <c r="O108" s="67"/>
      <c r="P108" s="67"/>
      <c r="Q108" s="67"/>
      <c r="R108" s="1"/>
      <c r="S108" s="1"/>
      <c r="T108" s="1"/>
      <c r="U108" s="1"/>
      <c r="V108" s="1"/>
      <c r="W108" s="1"/>
      <c r="X108" s="1"/>
      <c r="Y108" s="1"/>
      <c r="Z108" s="1"/>
      <c r="AA108" s="1"/>
    </row>
    <row r="109" spans="1:29" ht="12.75" customHeight="1" x14ac:dyDescent="0.35">
      <c r="A109" s="53"/>
      <c r="B109" s="1" t="s">
        <v>78</v>
      </c>
      <c r="C109" s="32">
        <v>4816.58</v>
      </c>
      <c r="D109" s="35">
        <v>4783.4399999999996</v>
      </c>
      <c r="E109" s="32">
        <v>4073.95</v>
      </c>
      <c r="F109" s="64">
        <v>5690.3700000000008</v>
      </c>
      <c r="G109" s="35">
        <v>4200</v>
      </c>
      <c r="H109" s="32"/>
      <c r="I109" s="63">
        <v>5500</v>
      </c>
      <c r="J109" s="32"/>
      <c r="K109" s="63">
        <f>I109*1.05</f>
        <v>5775</v>
      </c>
      <c r="L109" s="32"/>
      <c r="M109" s="32">
        <f>K109*1.05</f>
        <v>6063.75</v>
      </c>
      <c r="N109" s="67" t="s">
        <v>196</v>
      </c>
      <c r="O109" s="67"/>
      <c r="P109" s="67"/>
      <c r="Q109" s="67"/>
      <c r="R109" s="1"/>
      <c r="S109" s="1"/>
      <c r="T109" s="1"/>
      <c r="U109" s="1"/>
      <c r="V109" s="1"/>
      <c r="W109" s="1"/>
      <c r="X109" s="1"/>
      <c r="Y109" s="1"/>
      <c r="Z109" s="1"/>
      <c r="AA109" s="1"/>
    </row>
    <row r="110" spans="1:29" ht="12.75" customHeight="1" x14ac:dyDescent="0.35">
      <c r="A110" s="53"/>
      <c r="B110" s="1" t="s">
        <v>79</v>
      </c>
      <c r="C110" s="32">
        <v>0.05</v>
      </c>
      <c r="D110" s="35">
        <v>0</v>
      </c>
      <c r="E110" s="32">
        <v>0</v>
      </c>
      <c r="F110" s="64"/>
      <c r="G110" s="35">
        <v>0</v>
      </c>
      <c r="H110" s="32"/>
      <c r="I110" s="32">
        <v>0</v>
      </c>
      <c r="J110" s="32"/>
      <c r="K110" s="35">
        <v>0</v>
      </c>
      <c r="L110" s="32"/>
      <c r="M110" s="32">
        <v>0</v>
      </c>
      <c r="N110" s="67"/>
      <c r="O110" s="67"/>
      <c r="P110" s="67"/>
      <c r="Q110" s="67"/>
      <c r="R110" s="1"/>
      <c r="S110" s="1"/>
      <c r="T110" s="1"/>
      <c r="U110" s="1"/>
      <c r="V110" s="1"/>
      <c r="W110" s="1"/>
      <c r="X110" s="1"/>
      <c r="Y110" s="1"/>
      <c r="Z110" s="1"/>
      <c r="AA110" s="1"/>
    </row>
    <row r="111" spans="1:29" ht="12.75" customHeight="1" x14ac:dyDescent="0.35">
      <c r="A111" s="53"/>
      <c r="B111" s="1" t="s">
        <v>80</v>
      </c>
      <c r="C111" s="32">
        <v>17090.11</v>
      </c>
      <c r="D111" s="35">
        <v>7066.4</v>
      </c>
      <c r="E111" s="32">
        <v>4620.67</v>
      </c>
      <c r="F111" s="64">
        <v>4532.21</v>
      </c>
      <c r="G111" s="73"/>
      <c r="H111" s="32"/>
      <c r="I111" s="32">
        <f>F111-(F111*0.02)</f>
        <v>4441.5658000000003</v>
      </c>
      <c r="J111" s="32"/>
      <c r="K111" s="35">
        <f>I111-(I111*0.02)</f>
        <v>4352.7344840000005</v>
      </c>
      <c r="L111" s="32"/>
      <c r="M111" s="35">
        <f>K111-(K111*0.02)</f>
        <v>4265.6797943200008</v>
      </c>
      <c r="N111" s="67" t="s">
        <v>197</v>
      </c>
      <c r="O111" s="67"/>
      <c r="P111" s="67"/>
      <c r="Q111" s="67"/>
      <c r="R111" s="1"/>
      <c r="S111" s="1"/>
      <c r="T111" s="1"/>
      <c r="U111" s="1"/>
      <c r="V111" s="1"/>
      <c r="W111" s="1"/>
      <c r="X111" s="1"/>
      <c r="Y111" s="1"/>
      <c r="Z111" s="1"/>
      <c r="AA111" s="1"/>
    </row>
    <row r="112" spans="1:29" ht="12.75" customHeight="1" x14ac:dyDescent="0.35">
      <c r="A112" s="53"/>
      <c r="B112" s="1" t="s">
        <v>81</v>
      </c>
      <c r="C112" s="32">
        <v>0.05</v>
      </c>
      <c r="D112" s="35">
        <v>0</v>
      </c>
      <c r="E112" s="32">
        <v>0</v>
      </c>
      <c r="F112" s="64"/>
      <c r="G112" s="35">
        <v>0</v>
      </c>
      <c r="H112" s="32"/>
      <c r="I112" s="32">
        <v>0</v>
      </c>
      <c r="J112" s="32"/>
      <c r="K112" s="35">
        <v>0</v>
      </c>
      <c r="L112" s="32"/>
      <c r="M112" s="32">
        <v>0</v>
      </c>
      <c r="N112" s="67"/>
      <c r="O112" s="67"/>
      <c r="P112" s="67"/>
      <c r="Q112" s="67"/>
      <c r="R112" s="1"/>
      <c r="S112" s="1"/>
      <c r="T112" s="1"/>
      <c r="U112" s="1"/>
      <c r="V112" s="1"/>
      <c r="W112" s="1"/>
      <c r="X112" s="1"/>
      <c r="Y112" s="1"/>
      <c r="Z112" s="1"/>
      <c r="AA112" s="1"/>
    </row>
    <row r="113" spans="1:33" ht="12.75" customHeight="1" x14ac:dyDescent="0.35">
      <c r="A113" s="53"/>
      <c r="B113" s="1" t="s">
        <v>82</v>
      </c>
      <c r="C113" s="32">
        <v>6348.78</v>
      </c>
      <c r="D113" s="35">
        <v>6943.97</v>
      </c>
      <c r="E113" s="32">
        <v>6224.36</v>
      </c>
      <c r="F113" s="64">
        <v>6812.1399999999994</v>
      </c>
      <c r="G113" s="35">
        <v>6500</v>
      </c>
      <c r="H113" s="32"/>
      <c r="I113" s="63">
        <v>7000</v>
      </c>
      <c r="J113" s="32"/>
      <c r="K113" s="63">
        <f>I113*1.05</f>
        <v>7350</v>
      </c>
      <c r="L113" s="32"/>
      <c r="M113" s="32">
        <f>K113*1.05</f>
        <v>7717.5</v>
      </c>
      <c r="N113" s="67" t="s">
        <v>198</v>
      </c>
      <c r="O113" s="67"/>
      <c r="P113" s="67"/>
      <c r="Q113" s="67"/>
      <c r="R113" s="14"/>
      <c r="S113" s="14"/>
      <c r="T113" s="14"/>
      <c r="U113" s="14"/>
      <c r="V113" s="14"/>
      <c r="W113" s="14"/>
      <c r="X113" s="14"/>
      <c r="Y113" s="14"/>
      <c r="Z113" s="14"/>
      <c r="AA113" s="14"/>
    </row>
    <row r="114" spans="1:33" ht="12.75" customHeight="1" x14ac:dyDescent="0.35">
      <c r="A114" s="53"/>
      <c r="B114" s="1" t="s">
        <v>83</v>
      </c>
      <c r="C114" s="32">
        <v>313.44</v>
      </c>
      <c r="D114" s="35">
        <v>0</v>
      </c>
      <c r="E114" s="32">
        <v>0</v>
      </c>
      <c r="F114" s="32"/>
      <c r="G114" s="35">
        <v>0</v>
      </c>
      <c r="H114" s="32"/>
      <c r="I114" s="32">
        <v>0</v>
      </c>
      <c r="J114" s="32"/>
      <c r="K114" s="35">
        <v>0</v>
      </c>
      <c r="L114" s="32"/>
      <c r="M114" s="32">
        <v>0</v>
      </c>
      <c r="N114" s="67"/>
      <c r="O114" s="67"/>
      <c r="P114" s="67"/>
      <c r="Q114" s="67"/>
      <c r="R114" s="1"/>
      <c r="S114" s="1"/>
      <c r="T114" s="1"/>
      <c r="U114" s="1"/>
      <c r="V114" s="1"/>
      <c r="W114" s="1"/>
      <c r="X114" s="1"/>
      <c r="Y114" s="1"/>
      <c r="Z114" s="1"/>
      <c r="AA114" s="1"/>
    </row>
    <row r="115" spans="1:33" ht="12.75" customHeight="1" x14ac:dyDescent="0.35">
      <c r="A115" s="53"/>
      <c r="B115" s="5" t="s">
        <v>84</v>
      </c>
      <c r="C115" s="7">
        <f>SUM(C105:C114)</f>
        <v>47669.130000000005</v>
      </c>
      <c r="D115" s="41">
        <f>SUM(D105:D114)</f>
        <v>37054.58</v>
      </c>
      <c r="E115" s="7">
        <f>SUM(E105:E114)</f>
        <v>29287.68</v>
      </c>
      <c r="F115" s="61">
        <f>E115+E136</f>
        <v>113629.23000000001</v>
      </c>
      <c r="G115" s="41">
        <f>SUM(G105:G114)</f>
        <v>26342</v>
      </c>
      <c r="H115" s="61">
        <f>G115+G136</f>
        <v>121274</v>
      </c>
      <c r="I115" s="7">
        <f>SUM(I105:I114)</f>
        <v>35391.565799999997</v>
      </c>
      <c r="J115" s="61">
        <f>I115+I136</f>
        <v>130323.5658</v>
      </c>
      <c r="K115" s="41">
        <f>SUM(K105:K114)</f>
        <v>36821.734484000001</v>
      </c>
      <c r="L115" s="61">
        <f>K115+K136</f>
        <v>136500.33448399999</v>
      </c>
      <c r="M115" s="7">
        <f>SUM(M105:M114)</f>
        <v>38329.059794319997</v>
      </c>
      <c r="N115" s="67"/>
      <c r="O115" s="67"/>
      <c r="P115" s="67"/>
      <c r="Q115" s="67"/>
      <c r="R115" s="3"/>
      <c r="S115" s="3"/>
      <c r="T115" s="3"/>
      <c r="U115" s="3"/>
      <c r="V115" s="3"/>
      <c r="W115" s="3"/>
      <c r="X115" s="3"/>
      <c r="Y115" s="3"/>
      <c r="Z115" s="3"/>
      <c r="AA115" s="3"/>
      <c r="AC115" s="14">
        <f>G115/4</f>
        <v>6585.5</v>
      </c>
    </row>
    <row r="116" spans="1:33" ht="12.75" customHeight="1" x14ac:dyDescent="0.35">
      <c r="A116" s="53"/>
      <c r="H116"/>
      <c r="L116"/>
      <c r="N116" s="67"/>
      <c r="O116" s="67"/>
      <c r="P116" s="67"/>
      <c r="Q116" s="67"/>
      <c r="T116">
        <f>204000</f>
        <v>204000</v>
      </c>
    </row>
    <row r="117" spans="1:33" ht="12.75" customHeight="1" x14ac:dyDescent="0.35">
      <c r="A117" s="53">
        <v>9</v>
      </c>
      <c r="B117" s="3" t="s">
        <v>85</v>
      </c>
      <c r="H117"/>
      <c r="L117"/>
      <c r="N117" s="67"/>
      <c r="O117" s="67"/>
      <c r="P117" s="67"/>
      <c r="Q117" s="67"/>
      <c r="T117">
        <f>T116*0.915</f>
        <v>186660</v>
      </c>
    </row>
    <row r="118" spans="1:33" ht="12.75" customHeight="1" x14ac:dyDescent="0.35">
      <c r="A118" s="53"/>
      <c r="B118" s="1" t="s">
        <v>86</v>
      </c>
      <c r="C118" s="32">
        <v>1366.47</v>
      </c>
      <c r="D118" s="35">
        <v>0</v>
      </c>
      <c r="E118" s="32">
        <v>0</v>
      </c>
      <c r="F118" s="64">
        <v>321.3</v>
      </c>
      <c r="G118" s="35">
        <v>0</v>
      </c>
      <c r="I118" s="32">
        <v>500</v>
      </c>
      <c r="J118" s="32"/>
      <c r="K118" s="35">
        <f>I118</f>
        <v>500</v>
      </c>
      <c r="L118" s="32"/>
      <c r="M118" s="32">
        <f>K118</f>
        <v>500</v>
      </c>
      <c r="N118" s="67"/>
      <c r="O118" s="67"/>
      <c r="P118" s="67"/>
      <c r="Q118" s="67"/>
      <c r="R118" s="1"/>
      <c r="S118" s="1"/>
      <c r="T118" s="1">
        <f>T116-T117</f>
        <v>17340</v>
      </c>
      <c r="U118" s="1"/>
      <c r="V118" s="1"/>
      <c r="W118" s="1"/>
      <c r="X118" s="1"/>
      <c r="Y118" s="1"/>
      <c r="Z118" s="1"/>
      <c r="AA118" s="1"/>
    </row>
    <row r="119" spans="1:33" ht="12.75" customHeight="1" x14ac:dyDescent="0.35">
      <c r="A119" s="53"/>
      <c r="B119" s="1" t="s">
        <v>87</v>
      </c>
      <c r="C119" s="32">
        <v>11231.65</v>
      </c>
      <c r="D119" s="35">
        <v>-12158.54</v>
      </c>
      <c r="E119" s="32">
        <v>4891.72</v>
      </c>
      <c r="F119" s="64">
        <v>14291.599999999999</v>
      </c>
      <c r="G119" s="35">
        <v>10468</v>
      </c>
      <c r="I119" s="63">
        <v>15000</v>
      </c>
      <c r="J119" s="32"/>
      <c r="K119" s="63">
        <f>I119*1.03</f>
        <v>15450</v>
      </c>
      <c r="L119" s="32"/>
      <c r="M119" s="32">
        <f>K119*1.02</f>
        <v>15759</v>
      </c>
      <c r="N119" s="67" t="s">
        <v>199</v>
      </c>
      <c r="O119" s="67"/>
      <c r="P119" s="67"/>
      <c r="Q119" s="67"/>
      <c r="R119" s="1"/>
      <c r="S119" s="1"/>
      <c r="T119" s="1"/>
      <c r="U119" s="1"/>
      <c r="V119" s="1"/>
      <c r="W119" s="1"/>
      <c r="X119" s="1"/>
      <c r="Y119" s="1"/>
      <c r="Z119" s="1"/>
      <c r="AA119" s="1"/>
      <c r="AF119">
        <v>204</v>
      </c>
    </row>
    <row r="120" spans="1:33" ht="12.75" customHeight="1" x14ac:dyDescent="0.35">
      <c r="A120" s="53"/>
      <c r="B120" s="1" t="s">
        <v>88</v>
      </c>
      <c r="C120" s="32">
        <v>840.91</v>
      </c>
      <c r="D120" s="35">
        <v>893.18</v>
      </c>
      <c r="E120" s="32">
        <v>1088.6400000000001</v>
      </c>
      <c r="F120" s="64"/>
      <c r="G120" s="35">
        <v>1000</v>
      </c>
      <c r="I120" s="32">
        <v>1000</v>
      </c>
      <c r="J120" s="32"/>
      <c r="K120" s="63">
        <f>I120*1.05</f>
        <v>1050</v>
      </c>
      <c r="L120" s="32"/>
      <c r="M120" s="32">
        <f>K120*1.05</f>
        <v>1102.5</v>
      </c>
      <c r="N120" s="67"/>
      <c r="O120" s="67"/>
      <c r="P120" s="67"/>
      <c r="Q120" s="67"/>
      <c r="R120" s="1"/>
      <c r="S120" s="1"/>
      <c r="T120" s="1"/>
      <c r="U120" s="1"/>
      <c r="V120" s="1"/>
      <c r="W120" s="1"/>
      <c r="X120" s="1"/>
      <c r="Y120" s="1"/>
      <c r="Z120" s="1"/>
      <c r="AA120" s="1"/>
      <c r="AF120">
        <v>186</v>
      </c>
      <c r="AG120">
        <f>AF120/12</f>
        <v>15.5</v>
      </c>
    </row>
    <row r="121" spans="1:33" ht="12.75" customHeight="1" x14ac:dyDescent="0.35">
      <c r="A121" s="53"/>
      <c r="B121" s="1" t="s">
        <v>89</v>
      </c>
      <c r="C121" s="32">
        <v>6991.41</v>
      </c>
      <c r="D121" s="35">
        <v>11398.72</v>
      </c>
      <c r="E121" s="32">
        <v>2081.1</v>
      </c>
      <c r="F121" s="64">
        <v>3096.57</v>
      </c>
      <c r="G121" s="35">
        <f>2200</f>
        <v>2200</v>
      </c>
      <c r="I121" s="63">
        <v>3500</v>
      </c>
      <c r="J121" s="32"/>
      <c r="K121" s="63">
        <f>I121*1.03</f>
        <v>3605</v>
      </c>
      <c r="L121" s="32"/>
      <c r="M121" s="32">
        <f>K121*1.02</f>
        <v>3677.1</v>
      </c>
      <c r="N121" s="67"/>
      <c r="O121" s="67"/>
      <c r="P121" s="67"/>
      <c r="Q121" s="67"/>
      <c r="AF121">
        <f>AF120*1.095</f>
        <v>203.67</v>
      </c>
    </row>
    <row r="122" spans="1:33" ht="12.75" customHeight="1" x14ac:dyDescent="0.35">
      <c r="A122" s="53"/>
      <c r="B122" s="1" t="s">
        <v>90</v>
      </c>
      <c r="C122" s="32">
        <v>20113.990000000002</v>
      </c>
      <c r="D122" s="35">
        <v>19921.03</v>
      </c>
      <c r="E122" s="32">
        <v>20483.939999999999</v>
      </c>
      <c r="F122" s="64">
        <v>10705.84</v>
      </c>
      <c r="G122" s="35">
        <f>1750*12</f>
        <v>21000</v>
      </c>
      <c r="I122" s="32">
        <f>G122*1.05</f>
        <v>22050</v>
      </c>
      <c r="J122" s="32"/>
      <c r="K122" s="63">
        <f>I122*1.05</f>
        <v>23152.5</v>
      </c>
      <c r="L122" s="32"/>
      <c r="M122" s="32">
        <f>K122*1.05</f>
        <v>24310.125</v>
      </c>
      <c r="N122" s="67"/>
      <c r="O122" s="67"/>
      <c r="P122" s="67"/>
      <c r="Q122" s="67"/>
    </row>
    <row r="123" spans="1:33" ht="12.75" customHeight="1" x14ac:dyDescent="0.35">
      <c r="A123" s="53"/>
      <c r="B123" s="1" t="s">
        <v>91</v>
      </c>
      <c r="C123" s="32">
        <v>119.09</v>
      </c>
      <c r="D123" s="35">
        <v>0</v>
      </c>
      <c r="E123" s="32">
        <v>0</v>
      </c>
      <c r="F123" s="64">
        <v>660.13</v>
      </c>
      <c r="G123" s="35">
        <v>0</v>
      </c>
      <c r="I123" s="32">
        <f>G123</f>
        <v>0</v>
      </c>
      <c r="J123" s="32"/>
      <c r="K123" s="35">
        <f t="shared" ref="K123:M124" si="13">I123</f>
        <v>0</v>
      </c>
      <c r="L123" s="32"/>
      <c r="M123" s="32">
        <f t="shared" si="13"/>
        <v>0</v>
      </c>
      <c r="N123" s="67"/>
      <c r="O123" s="67"/>
      <c r="P123" s="67"/>
      <c r="Q123" s="67"/>
      <c r="R123" s="15"/>
      <c r="S123" s="15"/>
      <c r="T123" s="15"/>
      <c r="U123" s="15"/>
      <c r="V123" s="15"/>
      <c r="W123" s="15"/>
      <c r="X123" s="15"/>
      <c r="Y123" s="15"/>
      <c r="Z123" s="15"/>
      <c r="AA123" s="15"/>
    </row>
    <row r="124" spans="1:33" ht="12.75" customHeight="1" x14ac:dyDescent="0.35">
      <c r="A124" s="53"/>
      <c r="B124" s="1" t="s">
        <v>92</v>
      </c>
      <c r="C124" s="32">
        <v>359.82</v>
      </c>
      <c r="D124" s="35">
        <v>7.64</v>
      </c>
      <c r="E124" s="32">
        <v>0</v>
      </c>
      <c r="F124" s="64"/>
      <c r="G124" s="35">
        <v>0</v>
      </c>
      <c r="I124" s="32">
        <f>G124</f>
        <v>0</v>
      </c>
      <c r="J124" s="32"/>
      <c r="K124" s="35">
        <f t="shared" si="13"/>
        <v>0</v>
      </c>
      <c r="L124" s="32"/>
      <c r="M124" s="32">
        <f t="shared" si="13"/>
        <v>0</v>
      </c>
      <c r="N124" s="67"/>
      <c r="O124" s="67"/>
      <c r="P124" s="67"/>
      <c r="Q124" s="67"/>
      <c r="R124" s="15"/>
      <c r="S124" s="15"/>
      <c r="T124" s="15"/>
      <c r="U124" s="15"/>
      <c r="V124" s="15"/>
      <c r="W124" s="15"/>
      <c r="X124" s="15"/>
      <c r="Y124" s="15"/>
      <c r="Z124" s="15"/>
      <c r="AA124" s="15"/>
    </row>
    <row r="125" spans="1:33" ht="12.75" customHeight="1" x14ac:dyDescent="0.35">
      <c r="A125" s="53"/>
      <c r="B125" s="1" t="s">
        <v>93</v>
      </c>
      <c r="C125" s="32">
        <v>2078.09</v>
      </c>
      <c r="D125" s="35">
        <v>2256.59</v>
      </c>
      <c r="E125" s="32">
        <v>779.92</v>
      </c>
      <c r="F125" s="64"/>
      <c r="G125" s="35">
        <v>800</v>
      </c>
      <c r="I125" s="63">
        <v>1000</v>
      </c>
      <c r="J125" s="32"/>
      <c r="K125" s="63">
        <v>1100</v>
      </c>
      <c r="L125" s="32"/>
      <c r="M125" s="32">
        <v>1100</v>
      </c>
      <c r="N125" s="67"/>
      <c r="O125" s="67"/>
      <c r="P125" s="67"/>
      <c r="Q125" s="67"/>
      <c r="R125" s="1"/>
      <c r="S125" s="1"/>
      <c r="T125" s="1"/>
      <c r="U125" s="1"/>
      <c r="V125" s="1"/>
      <c r="W125" s="1"/>
      <c r="X125" s="1"/>
      <c r="Y125" s="1"/>
      <c r="Z125" s="1"/>
      <c r="AA125" s="1"/>
    </row>
    <row r="126" spans="1:33" ht="12.75" customHeight="1" x14ac:dyDescent="0.35">
      <c r="A126" s="53"/>
      <c r="B126" s="1" t="s">
        <v>94</v>
      </c>
      <c r="C126" s="32">
        <v>22528.48</v>
      </c>
      <c r="D126" s="35">
        <v>21066.71</v>
      </c>
      <c r="E126" s="32">
        <v>18566.25</v>
      </c>
      <c r="F126" s="64">
        <v>18207.400000000001</v>
      </c>
      <c r="G126" s="35">
        <v>18600</v>
      </c>
      <c r="I126" s="32">
        <f>G126*1.02</f>
        <v>18972</v>
      </c>
      <c r="J126" s="32"/>
      <c r="K126" s="35">
        <f>I126*1.02</f>
        <v>19351.439999999999</v>
      </c>
      <c r="L126" s="32"/>
      <c r="M126" s="32">
        <f>K126*1.02</f>
        <v>19738.468799999999</v>
      </c>
      <c r="N126" s="67"/>
      <c r="O126" s="67"/>
      <c r="P126" s="67"/>
      <c r="Q126" s="67"/>
      <c r="R126" s="15"/>
      <c r="S126" s="15"/>
      <c r="T126" s="15"/>
      <c r="U126" s="15"/>
      <c r="V126" s="15"/>
      <c r="W126" s="15"/>
      <c r="X126" s="15"/>
      <c r="Y126" s="15"/>
      <c r="Z126" s="15"/>
      <c r="AA126" s="15"/>
      <c r="AF126">
        <f>AF120*0.095</f>
        <v>17.670000000000002</v>
      </c>
    </row>
    <row r="127" spans="1:33" ht="12.75" customHeight="1" x14ac:dyDescent="0.35">
      <c r="A127" s="53"/>
      <c r="B127" s="1" t="s">
        <v>95</v>
      </c>
      <c r="C127" s="32">
        <v>1745.73</v>
      </c>
      <c r="D127" s="35">
        <v>2005.38</v>
      </c>
      <c r="E127" s="32">
        <v>1414.5</v>
      </c>
      <c r="F127" s="64">
        <v>1692.7600000000002</v>
      </c>
      <c r="G127" s="35">
        <v>1500</v>
      </c>
      <c r="I127" s="32">
        <f>G127*1.02</f>
        <v>1530</v>
      </c>
      <c r="J127" s="32"/>
      <c r="K127" s="35">
        <f>I127*1.02</f>
        <v>1560.6000000000001</v>
      </c>
      <c r="L127" s="32"/>
      <c r="M127" s="32">
        <f>K127*1.02</f>
        <v>1591.8120000000001</v>
      </c>
      <c r="N127" s="67"/>
      <c r="O127" s="67"/>
      <c r="P127" s="67"/>
      <c r="Q127" s="67"/>
      <c r="R127" s="14"/>
      <c r="S127" s="14"/>
      <c r="T127" s="14"/>
      <c r="U127" s="14"/>
      <c r="V127" s="14"/>
      <c r="W127" s="14"/>
      <c r="X127" s="14"/>
      <c r="Y127" s="14"/>
      <c r="Z127" s="14"/>
      <c r="AA127" s="14"/>
    </row>
    <row r="128" spans="1:33" ht="12.75" customHeight="1" x14ac:dyDescent="0.35">
      <c r="A128" s="53"/>
      <c r="B128" s="1" t="s">
        <v>96</v>
      </c>
      <c r="C128" s="32">
        <v>237726.96</v>
      </c>
      <c r="D128" s="35">
        <v>245999.26</v>
      </c>
      <c r="E128" s="32">
        <v>245497.76</v>
      </c>
      <c r="F128" s="64">
        <v>213308.82</v>
      </c>
      <c r="G128" s="35">
        <v>245000</v>
      </c>
      <c r="I128" s="63">
        <v>230000</v>
      </c>
      <c r="J128" s="32"/>
      <c r="K128" s="63">
        <f>I128*1.03</f>
        <v>236900</v>
      </c>
      <c r="L128" s="32"/>
      <c r="M128" s="32">
        <f>K128*1.03</f>
        <v>244007</v>
      </c>
      <c r="N128" s="67" t="s">
        <v>200</v>
      </c>
      <c r="O128" s="67"/>
      <c r="P128" s="67"/>
      <c r="Q128" s="67"/>
      <c r="R128" s="15"/>
      <c r="S128" s="15"/>
      <c r="T128" s="15"/>
      <c r="U128" s="15"/>
      <c r="V128" s="15"/>
      <c r="W128" s="15"/>
      <c r="X128" s="15"/>
      <c r="Y128" s="15"/>
      <c r="Z128" s="15"/>
      <c r="AA128" s="15"/>
      <c r="AC128" s="14"/>
    </row>
    <row r="129" spans="1:29" ht="12.75" customHeight="1" x14ac:dyDescent="0.35">
      <c r="A129" s="53"/>
      <c r="B129" s="5" t="s">
        <v>97</v>
      </c>
      <c r="C129" s="7">
        <f>SUM(C118:C128)</f>
        <v>305102.59999999998</v>
      </c>
      <c r="D129" s="41">
        <f>SUM(D118:D128)</f>
        <v>291389.97000000003</v>
      </c>
      <c r="E129" s="33">
        <f>SUM(E118:E128)</f>
        <v>294803.83</v>
      </c>
      <c r="F129" s="62">
        <f>E129</f>
        <v>294803.83</v>
      </c>
      <c r="G129" s="41">
        <f>SUM(G118:G128)</f>
        <v>300568</v>
      </c>
      <c r="H129" s="62">
        <f>G129</f>
        <v>300568</v>
      </c>
      <c r="I129" s="33">
        <f>SUM(I118:I128)</f>
        <v>293552</v>
      </c>
      <c r="J129" s="62">
        <f>I129</f>
        <v>293552</v>
      </c>
      <c r="K129" s="41">
        <f>SUM(K118:K128)</f>
        <v>302669.54000000004</v>
      </c>
      <c r="L129" s="62">
        <f>K129</f>
        <v>302669.54000000004</v>
      </c>
      <c r="M129" s="7">
        <f>SUM(M118:M128)</f>
        <v>311786.00579999998</v>
      </c>
      <c r="N129" s="67"/>
      <c r="O129" s="67"/>
      <c r="P129" s="67"/>
      <c r="Q129" s="67"/>
      <c r="R129" s="3"/>
      <c r="S129" s="24"/>
      <c r="T129" s="3"/>
      <c r="U129" s="3"/>
      <c r="V129" s="3"/>
      <c r="W129" s="3"/>
      <c r="X129" s="3"/>
      <c r="Y129" s="3"/>
      <c r="Z129" s="3"/>
      <c r="AA129" s="3"/>
      <c r="AC129" s="14">
        <f>G129/4</f>
        <v>75142</v>
      </c>
    </row>
    <row r="130" spans="1:29" ht="12.75" customHeight="1" x14ac:dyDescent="0.35">
      <c r="A130" s="53"/>
      <c r="H130"/>
      <c r="L130"/>
      <c r="N130" s="67"/>
      <c r="O130" s="67"/>
      <c r="P130" s="67"/>
      <c r="Q130" s="67"/>
      <c r="S130" s="30"/>
      <c r="T130" s="30"/>
      <c r="U130" s="30"/>
      <c r="V130" s="30"/>
      <c r="W130" s="30"/>
    </row>
    <row r="131" spans="1:29" ht="12.75" customHeight="1" x14ac:dyDescent="0.35">
      <c r="A131" s="53">
        <v>10</v>
      </c>
      <c r="B131" s="3" t="s">
        <v>98</v>
      </c>
      <c r="H131"/>
      <c r="L131"/>
      <c r="N131" s="67" t="s">
        <v>201</v>
      </c>
      <c r="O131" s="67"/>
      <c r="P131" s="67"/>
      <c r="Q131" s="67"/>
      <c r="S131" s="30"/>
      <c r="T131" s="30"/>
      <c r="U131" s="30"/>
      <c r="V131" s="30"/>
      <c r="W131" s="30"/>
    </row>
    <row r="132" spans="1:29" ht="12.75" customHeight="1" x14ac:dyDescent="0.35">
      <c r="A132" s="53"/>
      <c r="B132" s="1" t="s">
        <v>99</v>
      </c>
      <c r="C132" s="32">
        <v>0</v>
      </c>
      <c r="D132" s="35">
        <v>84103.2</v>
      </c>
      <c r="E132" s="32">
        <v>58109.07</v>
      </c>
      <c r="F132" s="64">
        <v>58048.81</v>
      </c>
      <c r="G132" s="35">
        <f t="shared" ref="G132:K135" si="14">G45-(G45*0.1)</f>
        <v>65142</v>
      </c>
      <c r="H132" s="32"/>
      <c r="I132" s="32">
        <f t="shared" si="14"/>
        <v>65142</v>
      </c>
      <c r="J132" s="32"/>
      <c r="K132" s="35">
        <f t="shared" si="14"/>
        <v>68399.100000000006</v>
      </c>
      <c r="L132" s="32"/>
      <c r="M132" s="32">
        <f>M45-(M45*0.1)</f>
        <v>68399.100000000006</v>
      </c>
      <c r="O132" s="67"/>
      <c r="P132" s="67"/>
      <c r="Q132" s="67"/>
      <c r="S132" t="s">
        <v>166</v>
      </c>
    </row>
    <row r="133" spans="1:29" ht="12.75" customHeight="1" x14ac:dyDescent="0.35">
      <c r="A133" s="53"/>
      <c r="B133" s="1" t="s">
        <v>100</v>
      </c>
      <c r="C133" s="32">
        <v>0</v>
      </c>
      <c r="D133" s="35">
        <v>6196.35</v>
      </c>
      <c r="E133" s="32">
        <v>4227.18</v>
      </c>
      <c r="F133" s="64">
        <v>4519.07</v>
      </c>
      <c r="G133" s="35">
        <f t="shared" si="14"/>
        <v>5118.3</v>
      </c>
      <c r="H133" s="32"/>
      <c r="I133" s="32">
        <f t="shared" si="14"/>
        <v>5118.3</v>
      </c>
      <c r="J133" s="32"/>
      <c r="K133" s="35">
        <f t="shared" si="14"/>
        <v>5374.2150000000001</v>
      </c>
      <c r="L133" s="32"/>
      <c r="M133" s="32">
        <f>M46-(M46*0.1)</f>
        <v>5374.2150000000001</v>
      </c>
      <c r="N133" s="67"/>
      <c r="O133" s="67"/>
      <c r="P133" s="67"/>
      <c r="Q133" s="67"/>
    </row>
    <row r="134" spans="1:29" ht="12.75" customHeight="1" x14ac:dyDescent="0.35">
      <c r="A134" s="53"/>
      <c r="B134" s="1" t="s">
        <v>164</v>
      </c>
      <c r="C134" s="32">
        <v>0</v>
      </c>
      <c r="D134" s="35">
        <v>1219.56</v>
      </c>
      <c r="E134" s="32">
        <v>971.61</v>
      </c>
      <c r="F134" s="64">
        <v>20825.230000000003</v>
      </c>
      <c r="G134" s="35">
        <f t="shared" si="14"/>
        <v>23178.6</v>
      </c>
      <c r="H134" s="32"/>
      <c r="I134" s="32">
        <f t="shared" si="14"/>
        <v>23178.6</v>
      </c>
      <c r="J134" s="32"/>
      <c r="K134" s="35">
        <f t="shared" si="14"/>
        <v>24337.53</v>
      </c>
      <c r="L134" s="32"/>
      <c r="M134" s="32">
        <f>M47-(M47*0.1)</f>
        <v>24337.53</v>
      </c>
      <c r="N134" s="67"/>
      <c r="O134" s="67"/>
      <c r="P134" s="67"/>
      <c r="Q134" s="67"/>
    </row>
    <row r="135" spans="1:29" ht="12.75" customHeight="1" x14ac:dyDescent="0.35">
      <c r="A135" s="53"/>
      <c r="B135" s="1" t="s">
        <v>165</v>
      </c>
      <c r="C135" s="32">
        <v>0</v>
      </c>
      <c r="D135" s="35">
        <v>25954.98</v>
      </c>
      <c r="E135" s="32">
        <v>21033.69</v>
      </c>
      <c r="F135" s="64">
        <v>839</v>
      </c>
      <c r="G135" s="35">
        <f t="shared" si="14"/>
        <v>1493.1</v>
      </c>
      <c r="H135" s="32"/>
      <c r="I135" s="32">
        <f t="shared" si="14"/>
        <v>1493.1</v>
      </c>
      <c r="J135" s="32"/>
      <c r="K135" s="35">
        <f t="shared" si="14"/>
        <v>1567.7550000000001</v>
      </c>
      <c r="L135" s="32"/>
      <c r="M135" s="32">
        <f>M48-(M48*0.1)</f>
        <v>1567.7550000000001</v>
      </c>
      <c r="N135" s="67"/>
      <c r="O135" s="67"/>
      <c r="P135" s="67"/>
      <c r="Q135" s="67"/>
    </row>
    <row r="136" spans="1:29" ht="12.75" customHeight="1" x14ac:dyDescent="0.35">
      <c r="A136" s="53"/>
      <c r="B136" s="5" t="s">
        <v>101</v>
      </c>
      <c r="C136" s="7">
        <f>SUM(C132:C135)</f>
        <v>0</v>
      </c>
      <c r="D136" s="41">
        <f>SUM(D132:D135)</f>
        <v>117474.09</v>
      </c>
      <c r="E136" s="33">
        <f>SUM(E132:E135)</f>
        <v>84341.55</v>
      </c>
      <c r="F136" s="2"/>
      <c r="G136" s="41">
        <f>SUM(G132:G135)</f>
        <v>94932</v>
      </c>
      <c r="H136" s="2"/>
      <c r="I136" s="33">
        <f>SUM(I132:I135)</f>
        <v>94932</v>
      </c>
      <c r="J136" s="2"/>
      <c r="K136" s="41">
        <f>SUM(K132:K135)</f>
        <v>99678.6</v>
      </c>
      <c r="L136" s="2"/>
      <c r="M136" s="7">
        <f>SUM(M132:M135)</f>
        <v>99678.6</v>
      </c>
      <c r="N136" s="67"/>
      <c r="O136" s="67"/>
      <c r="P136" s="67"/>
      <c r="Q136" s="67"/>
      <c r="R136" s="3"/>
      <c r="S136" s="24"/>
      <c r="T136" s="3"/>
      <c r="U136" s="3"/>
      <c r="V136" s="3"/>
      <c r="W136" s="3"/>
      <c r="X136" s="3"/>
      <c r="Y136" s="3"/>
      <c r="Z136" s="3"/>
      <c r="AA136" s="3"/>
      <c r="AC136" s="14">
        <f>G136/4</f>
        <v>23733</v>
      </c>
    </row>
    <row r="137" spans="1:29" ht="12.75" customHeight="1" x14ac:dyDescent="0.35">
      <c r="A137" s="53"/>
      <c r="G137" s="45"/>
      <c r="H137"/>
      <c r="K137" s="45"/>
      <c r="L137"/>
      <c r="M137" s="72"/>
      <c r="N137" s="67"/>
      <c r="O137" s="67"/>
      <c r="P137" s="67"/>
      <c r="Q137" s="67"/>
      <c r="S137" s="30"/>
    </row>
    <row r="138" spans="1:29" ht="12.75" customHeight="1" x14ac:dyDescent="0.35">
      <c r="A138" s="53">
        <v>11</v>
      </c>
      <c r="B138" s="3" t="s">
        <v>102</v>
      </c>
      <c r="H138"/>
      <c r="L138"/>
      <c r="N138" s="67"/>
      <c r="O138" s="67"/>
      <c r="P138" s="67"/>
      <c r="Q138" s="67"/>
      <c r="S138" s="30"/>
    </row>
    <row r="139" spans="1:29" ht="12.75" customHeight="1" x14ac:dyDescent="0.35">
      <c r="A139" s="53">
        <v>11.1</v>
      </c>
      <c r="B139" s="1" t="s">
        <v>103</v>
      </c>
      <c r="C139" s="32">
        <v>7955.09</v>
      </c>
      <c r="D139" s="35">
        <v>12973.08</v>
      </c>
      <c r="E139" s="32">
        <v>2650.9</v>
      </c>
      <c r="F139" s="64">
        <v>3488.64</v>
      </c>
      <c r="G139" s="35">
        <v>10000</v>
      </c>
      <c r="H139" s="32">
        <f>G139+G141+G142</f>
        <v>34500</v>
      </c>
      <c r="I139" s="63">
        <v>10000</v>
      </c>
      <c r="J139" s="32">
        <f>I139+I141+I142</f>
        <v>19690</v>
      </c>
      <c r="K139" s="35">
        <v>11000</v>
      </c>
      <c r="L139" s="32">
        <f>K139+K141+K142</f>
        <v>37883.800000000003</v>
      </c>
      <c r="M139" s="32">
        <v>12000</v>
      </c>
      <c r="N139" s="67"/>
      <c r="O139" s="67"/>
      <c r="P139" s="67"/>
      <c r="Q139" s="67"/>
      <c r="R139" s="18"/>
      <c r="S139" s="18"/>
      <c r="T139" s="18"/>
      <c r="U139" s="18"/>
      <c r="V139" s="18"/>
      <c r="W139" s="18"/>
      <c r="X139" s="18"/>
      <c r="Y139" s="18"/>
      <c r="Z139" s="18"/>
      <c r="AA139" s="18"/>
    </row>
    <row r="140" spans="1:29" ht="12.75" customHeight="1" x14ac:dyDescent="0.35">
      <c r="A140" s="53">
        <v>11.2</v>
      </c>
      <c r="B140" s="1" t="s">
        <v>104</v>
      </c>
      <c r="C140" s="32">
        <v>23420.74</v>
      </c>
      <c r="D140" s="35">
        <v>13721.14</v>
      </c>
      <c r="E140" s="32">
        <v>6192.59</v>
      </c>
      <c r="F140" s="64">
        <v>457.07</v>
      </c>
      <c r="G140" s="35">
        <v>7000</v>
      </c>
      <c r="H140" s="32"/>
      <c r="I140" s="63">
        <v>3500</v>
      </c>
      <c r="J140" s="32"/>
      <c r="K140" s="63">
        <v>3500</v>
      </c>
      <c r="L140" s="32"/>
      <c r="M140" s="32">
        <v>3500</v>
      </c>
      <c r="N140" s="67" t="s">
        <v>202</v>
      </c>
      <c r="O140" s="67"/>
      <c r="P140" s="67"/>
      <c r="Q140" s="67"/>
      <c r="R140" s="18"/>
      <c r="S140" s="18"/>
      <c r="T140" s="18"/>
      <c r="U140" s="18"/>
      <c r="V140" s="18"/>
      <c r="W140" s="18"/>
      <c r="X140" s="18"/>
      <c r="Y140" s="18"/>
      <c r="Z140" s="18"/>
      <c r="AA140" s="18"/>
    </row>
    <row r="141" spans="1:29" ht="12.75" customHeight="1" x14ac:dyDescent="0.35">
      <c r="A141" s="53">
        <v>11.3</v>
      </c>
      <c r="B141" s="1" t="s">
        <v>105</v>
      </c>
      <c r="C141" s="32">
        <v>0</v>
      </c>
      <c r="D141" s="35">
        <f>454.55+8000</f>
        <v>8454.5499999999993</v>
      </c>
      <c r="E141" s="32">
        <v>0</v>
      </c>
      <c r="F141" s="64">
        <v>11612.96</v>
      </c>
      <c r="G141" s="35">
        <v>15000</v>
      </c>
      <c r="H141" s="32"/>
      <c r="I141" s="63"/>
      <c r="J141" s="32"/>
      <c r="K141" s="35">
        <v>17000</v>
      </c>
      <c r="L141" s="32"/>
      <c r="M141" s="32"/>
      <c r="N141" s="67"/>
      <c r="O141" s="67"/>
      <c r="P141" s="67"/>
      <c r="Q141" s="67"/>
      <c r="R141" s="18"/>
      <c r="S141" s="18"/>
      <c r="T141" s="18"/>
      <c r="U141" s="18"/>
      <c r="V141" s="18"/>
      <c r="W141" s="18"/>
      <c r="X141" s="18"/>
      <c r="Y141" s="18"/>
      <c r="Z141" s="18"/>
      <c r="AA141" s="18"/>
    </row>
    <row r="142" spans="1:29" ht="12.75" customHeight="1" x14ac:dyDescent="0.35">
      <c r="A142" s="53">
        <v>11.4</v>
      </c>
      <c r="B142" s="1" t="s">
        <v>106</v>
      </c>
      <c r="C142" s="32">
        <v>9999.9599999999991</v>
      </c>
      <c r="D142" s="35">
        <v>12200.01</v>
      </c>
      <c r="E142" s="32">
        <v>9240.01</v>
      </c>
      <c r="F142" s="64">
        <v>9090.92</v>
      </c>
      <c r="G142" s="35">
        <v>9500</v>
      </c>
      <c r="H142" s="32"/>
      <c r="I142" s="32">
        <f>G142*1.02</f>
        <v>9690</v>
      </c>
      <c r="J142" s="32"/>
      <c r="K142" s="32">
        <f>I142*1.02</f>
        <v>9883.7999999999993</v>
      </c>
      <c r="L142" s="32"/>
      <c r="M142" s="32">
        <f>K142*1.02</f>
        <v>10081.475999999999</v>
      </c>
      <c r="N142" s="67" t="s">
        <v>203</v>
      </c>
      <c r="O142" s="67"/>
      <c r="P142" s="67"/>
      <c r="Q142" s="67"/>
      <c r="R142" s="18"/>
      <c r="S142" s="18"/>
      <c r="T142" s="18"/>
      <c r="U142" s="18"/>
      <c r="V142" s="18"/>
      <c r="W142" s="18"/>
      <c r="X142" s="18"/>
      <c r="Y142" s="18"/>
      <c r="Z142" s="18"/>
      <c r="AA142" s="18"/>
    </row>
    <row r="143" spans="1:29" ht="12.75" customHeight="1" x14ac:dyDescent="0.35">
      <c r="A143" s="53">
        <v>11.5</v>
      </c>
      <c r="B143" s="1" t="s">
        <v>107</v>
      </c>
      <c r="C143" s="32">
        <v>6182.74</v>
      </c>
      <c r="D143" s="35">
        <v>15544.09</v>
      </c>
      <c r="E143" s="32">
        <v>5227.6499999999996</v>
      </c>
      <c r="F143" s="64">
        <v>4031.8899999999994</v>
      </c>
      <c r="G143" s="35">
        <v>5500</v>
      </c>
      <c r="H143" s="32"/>
      <c r="I143" s="32">
        <v>6500</v>
      </c>
      <c r="J143" s="32"/>
      <c r="K143" s="35">
        <v>10000</v>
      </c>
      <c r="L143" s="32"/>
      <c r="M143" s="35">
        <v>5500</v>
      </c>
      <c r="N143" s="67" t="s">
        <v>215</v>
      </c>
      <c r="O143" s="67"/>
      <c r="P143" s="67"/>
      <c r="Q143" s="67"/>
      <c r="R143" s="18"/>
      <c r="S143" s="18"/>
      <c r="T143" s="18"/>
      <c r="U143" s="18"/>
      <c r="V143" s="18"/>
      <c r="W143" s="18"/>
      <c r="X143" s="18"/>
      <c r="Y143" s="18"/>
      <c r="Z143" s="18"/>
      <c r="AA143" s="18"/>
    </row>
    <row r="144" spans="1:29" ht="12.75" customHeight="1" x14ac:dyDescent="0.35">
      <c r="A144" s="53">
        <v>11.6</v>
      </c>
      <c r="B144" s="1" t="s">
        <v>108</v>
      </c>
      <c r="C144" s="32">
        <v>113267.79</v>
      </c>
      <c r="D144" s="35">
        <f>205104.55-8000</f>
        <v>197104.55</v>
      </c>
      <c r="E144" s="32">
        <v>86772.7</v>
      </c>
      <c r="F144" s="64">
        <v>172340.18999999997</v>
      </c>
      <c r="G144" s="35">
        <v>150000</v>
      </c>
      <c r="H144" s="32"/>
      <c r="I144" s="63">
        <f>25*5000</f>
        <v>125000</v>
      </c>
      <c r="J144" s="32"/>
      <c r="K144" s="63">
        <f>F144</f>
        <v>172340.18999999997</v>
      </c>
      <c r="L144" s="32"/>
      <c r="M144" s="32">
        <f>26*5000</f>
        <v>130000</v>
      </c>
      <c r="N144" s="67" t="s">
        <v>204</v>
      </c>
      <c r="O144" s="67"/>
      <c r="P144" s="67"/>
      <c r="Q144" s="67"/>
      <c r="R144" s="18"/>
      <c r="S144" s="30"/>
      <c r="T144" s="18"/>
      <c r="U144" s="30"/>
      <c r="V144" s="18"/>
      <c r="W144" s="18"/>
      <c r="X144" s="18"/>
      <c r="Y144" s="18"/>
      <c r="Z144" s="18"/>
      <c r="AA144" s="18"/>
    </row>
    <row r="145" spans="1:29" ht="12.75" customHeight="1" x14ac:dyDescent="0.35">
      <c r="A145" s="53"/>
      <c r="B145" s="5" t="s">
        <v>109</v>
      </c>
      <c r="C145" s="20">
        <f>SUM(C139:C144)</f>
        <v>160826.32</v>
      </c>
      <c r="D145" s="36">
        <f>SUM(D139:D144)</f>
        <v>259997.41999999998</v>
      </c>
      <c r="E145" s="33">
        <f>SUM(E139:E144)</f>
        <v>110083.85</v>
      </c>
      <c r="F145" s="19">
        <f>E145-F139</f>
        <v>106595.21</v>
      </c>
      <c r="G145" s="36">
        <f>SUM(G139:G144)</f>
        <v>197000</v>
      </c>
      <c r="H145" s="19">
        <f>G145-H139+G161</f>
        <v>292377</v>
      </c>
      <c r="I145" s="33">
        <f>SUM(I139:I144)</f>
        <v>154690</v>
      </c>
      <c r="J145" s="19">
        <f>I145-J139</f>
        <v>135000</v>
      </c>
      <c r="K145" s="36">
        <f>SUM(K139:K144)</f>
        <v>223723.99</v>
      </c>
      <c r="L145" s="19">
        <f>K145-L139+K161</f>
        <v>271951.49</v>
      </c>
      <c r="M145" s="20">
        <f>SUM(M139:M144)</f>
        <v>161081.476</v>
      </c>
      <c r="N145" s="67"/>
      <c r="O145" s="67"/>
      <c r="P145" s="67"/>
      <c r="Q145" s="67"/>
      <c r="R145" s="22"/>
      <c r="S145" s="25"/>
      <c r="T145" s="22"/>
      <c r="U145" s="22"/>
      <c r="V145" s="22"/>
      <c r="W145" s="22"/>
      <c r="X145" s="22"/>
      <c r="Y145" s="22"/>
      <c r="Z145" s="22"/>
      <c r="AA145" s="22"/>
      <c r="AC145" s="14">
        <f>G145/4</f>
        <v>49250</v>
      </c>
    </row>
    <row r="146" spans="1:29" ht="12.75" customHeight="1" x14ac:dyDescent="0.35">
      <c r="A146" s="53"/>
      <c r="C146" s="17"/>
      <c r="D146" s="37"/>
      <c r="E146" s="17"/>
      <c r="F146" s="17"/>
      <c r="G146" s="37"/>
      <c r="H146" s="17"/>
      <c r="I146" s="17"/>
      <c r="J146" s="17"/>
      <c r="K146" s="37"/>
      <c r="L146" s="17"/>
      <c r="M146" s="71"/>
      <c r="N146" s="67"/>
      <c r="O146" s="67"/>
      <c r="P146" s="67"/>
      <c r="Q146" s="67"/>
      <c r="R146" s="17"/>
      <c r="S146" s="30"/>
      <c r="T146" s="17"/>
      <c r="U146" s="17"/>
      <c r="V146" s="17"/>
      <c r="W146" s="17"/>
      <c r="X146" s="17"/>
      <c r="Y146" s="17"/>
      <c r="Z146" s="17"/>
      <c r="AA146" s="17"/>
    </row>
    <row r="147" spans="1:29" ht="12.75" customHeight="1" x14ac:dyDescent="0.35">
      <c r="A147" s="53">
        <v>12</v>
      </c>
      <c r="B147" s="3" t="s">
        <v>110</v>
      </c>
      <c r="C147" s="17"/>
      <c r="D147" s="37"/>
      <c r="E147" s="17"/>
      <c r="F147" s="17"/>
      <c r="G147" s="37"/>
      <c r="H147" s="17"/>
      <c r="I147" s="17"/>
      <c r="J147" s="17"/>
      <c r="K147" s="37"/>
      <c r="L147" s="17"/>
      <c r="M147" s="71"/>
      <c r="N147" s="67"/>
      <c r="O147" s="67"/>
      <c r="P147" s="67"/>
      <c r="Q147" s="67"/>
      <c r="R147" s="17"/>
      <c r="S147" s="30"/>
      <c r="T147" s="17"/>
      <c r="U147" s="17"/>
      <c r="V147" s="17"/>
      <c r="W147" s="17"/>
      <c r="X147" s="17"/>
      <c r="Y147" s="17"/>
      <c r="Z147" s="17"/>
      <c r="AA147" s="17"/>
    </row>
    <row r="148" spans="1:29" ht="12.75" customHeight="1" x14ac:dyDescent="0.35">
      <c r="A148" s="53"/>
      <c r="B148" s="1" t="s">
        <v>206</v>
      </c>
      <c r="C148" s="32">
        <v>0</v>
      </c>
      <c r="D148" s="35">
        <v>0</v>
      </c>
      <c r="E148" s="32">
        <v>14158.07</v>
      </c>
      <c r="F148" s="32"/>
      <c r="G148" s="35">
        <v>3500</v>
      </c>
      <c r="H148" s="63" t="s">
        <v>183</v>
      </c>
      <c r="I148" s="63">
        <f>900*135</f>
        <v>121500</v>
      </c>
      <c r="J148" s="32"/>
      <c r="K148" s="35">
        <v>4500</v>
      </c>
      <c r="L148" s="32"/>
      <c r="M148" s="32"/>
      <c r="N148" s="67" t="s">
        <v>221</v>
      </c>
      <c r="O148" s="67"/>
      <c r="P148" s="67"/>
      <c r="Q148" s="67"/>
      <c r="R148" s="18"/>
      <c r="S148" s="18"/>
      <c r="T148" s="18"/>
      <c r="U148" s="18"/>
      <c r="V148" s="18"/>
      <c r="W148" s="18"/>
      <c r="X148" s="18"/>
      <c r="Y148" s="18"/>
      <c r="Z148" s="18"/>
      <c r="AA148" s="18"/>
    </row>
    <row r="149" spans="1:29" ht="12.75" customHeight="1" x14ac:dyDescent="0.35">
      <c r="A149" s="53"/>
      <c r="B149" s="1" t="s">
        <v>111</v>
      </c>
      <c r="C149" s="32">
        <v>0</v>
      </c>
      <c r="D149" s="35">
        <v>0</v>
      </c>
      <c r="E149" s="32">
        <v>1492</v>
      </c>
      <c r="F149" s="32"/>
      <c r="G149" s="35"/>
      <c r="H149" s="32"/>
      <c r="I149" s="32"/>
      <c r="J149" s="32"/>
      <c r="K149" s="35"/>
      <c r="L149" s="32"/>
      <c r="M149" s="32"/>
      <c r="N149" s="67"/>
      <c r="O149" s="67"/>
      <c r="P149" s="67"/>
      <c r="Q149" s="67"/>
      <c r="R149" s="17"/>
      <c r="S149" s="17"/>
      <c r="T149" s="17"/>
      <c r="U149" s="17"/>
      <c r="V149" s="17"/>
      <c r="W149" s="17"/>
      <c r="X149" s="17"/>
      <c r="Y149" s="17"/>
      <c r="Z149" s="17"/>
      <c r="AA149" s="17"/>
    </row>
    <row r="150" spans="1:29" ht="12.75" customHeight="1" x14ac:dyDescent="0.35">
      <c r="A150" s="53"/>
      <c r="B150" s="1" t="s">
        <v>112</v>
      </c>
      <c r="C150" s="32">
        <v>4454.51</v>
      </c>
      <c r="D150" s="35">
        <v>0</v>
      </c>
      <c r="E150" s="32">
        <v>0</v>
      </c>
      <c r="F150" s="32"/>
      <c r="G150" s="35">
        <v>63289</v>
      </c>
      <c r="H150" s="32"/>
      <c r="I150" s="32">
        <v>0</v>
      </c>
      <c r="J150" s="32"/>
      <c r="K150" s="35">
        <v>0</v>
      </c>
      <c r="L150" s="32"/>
      <c r="M150" s="32">
        <v>0</v>
      </c>
      <c r="N150" s="67"/>
      <c r="O150" s="67"/>
      <c r="P150" s="67"/>
      <c r="Q150" s="67"/>
      <c r="R150" s="18"/>
      <c r="S150" s="22"/>
      <c r="T150" s="18"/>
      <c r="U150" s="18"/>
      <c r="V150" s="18"/>
      <c r="W150" s="18"/>
      <c r="X150" s="18"/>
      <c r="Y150" s="18"/>
      <c r="Z150" s="18"/>
      <c r="AA150" s="18"/>
    </row>
    <row r="151" spans="1:29" ht="12.75" customHeight="1" x14ac:dyDescent="0.35">
      <c r="A151" s="53"/>
      <c r="C151" s="17"/>
      <c r="D151" s="37"/>
      <c r="E151" s="17"/>
      <c r="F151" s="17"/>
      <c r="G151" s="37"/>
      <c r="H151" s="17"/>
      <c r="I151" s="17"/>
      <c r="J151" s="17"/>
      <c r="K151" s="37"/>
      <c r="L151" s="17"/>
      <c r="M151" s="71"/>
      <c r="N151" s="67"/>
      <c r="O151" s="67"/>
      <c r="P151" s="67"/>
      <c r="Q151" s="67"/>
      <c r="R151" s="17"/>
      <c r="S151" s="17"/>
      <c r="T151" s="17"/>
      <c r="U151" s="17"/>
      <c r="V151" s="17"/>
      <c r="W151" s="17"/>
      <c r="X151" s="17"/>
      <c r="Y151" s="17"/>
      <c r="Z151" s="17"/>
      <c r="AA151" s="17"/>
    </row>
    <row r="152" spans="1:29" ht="12.75" customHeight="1" x14ac:dyDescent="0.35">
      <c r="A152" s="53">
        <v>13</v>
      </c>
      <c r="B152" s="3" t="s">
        <v>113</v>
      </c>
      <c r="C152" s="17"/>
      <c r="D152" s="37"/>
      <c r="E152" s="17"/>
      <c r="F152" s="17"/>
      <c r="G152" s="37"/>
      <c r="H152" s="17"/>
      <c r="I152" s="17"/>
      <c r="J152" s="17"/>
      <c r="K152" s="37"/>
      <c r="L152" s="17"/>
      <c r="M152" s="71"/>
      <c r="N152" s="67"/>
      <c r="O152" s="67"/>
      <c r="P152" s="67"/>
      <c r="Q152" s="67"/>
      <c r="R152" s="17"/>
      <c r="S152" s="17"/>
      <c r="T152" s="17"/>
      <c r="U152" s="17"/>
      <c r="V152" s="17"/>
      <c r="W152" s="17"/>
      <c r="X152" s="17"/>
      <c r="Y152" s="17"/>
      <c r="Z152" s="17"/>
      <c r="AA152" s="17"/>
    </row>
    <row r="153" spans="1:29" ht="12.75" customHeight="1" x14ac:dyDescent="0.35">
      <c r="A153" s="53"/>
      <c r="B153" s="1"/>
      <c r="D153" s="42"/>
      <c r="E153" s="18"/>
      <c r="F153" s="19"/>
      <c r="G153" s="42"/>
      <c r="H153" s="19"/>
      <c r="I153" s="18"/>
      <c r="J153" s="19"/>
      <c r="K153" s="42"/>
      <c r="L153" s="19"/>
      <c r="M153" s="18"/>
      <c r="N153" s="67"/>
      <c r="O153" s="67"/>
      <c r="P153" s="67"/>
      <c r="Q153" s="67"/>
      <c r="R153" s="18"/>
      <c r="S153" s="18"/>
      <c r="T153" s="18"/>
      <c r="U153" s="18"/>
      <c r="V153" s="18"/>
      <c r="W153" s="18"/>
      <c r="X153" s="18"/>
      <c r="Y153" s="18"/>
      <c r="Z153" s="18"/>
      <c r="AA153" s="18"/>
    </row>
    <row r="154" spans="1:29" ht="12.75" customHeight="1" x14ac:dyDescent="0.35">
      <c r="A154" s="53"/>
      <c r="B154" s="1" t="s">
        <v>152</v>
      </c>
      <c r="C154" s="32">
        <v>34706.449999999997</v>
      </c>
      <c r="D154" s="35">
        <v>0</v>
      </c>
      <c r="E154" s="32">
        <v>75307.61</v>
      </c>
      <c r="F154" s="32"/>
      <c r="G154" s="35">
        <v>0</v>
      </c>
      <c r="H154" s="32"/>
      <c r="I154" s="63">
        <v>83000</v>
      </c>
      <c r="J154" s="32"/>
      <c r="K154" s="35">
        <v>0</v>
      </c>
      <c r="L154" s="32"/>
      <c r="M154" s="32">
        <f>I154*1.05</f>
        <v>87150</v>
      </c>
      <c r="N154" s="67" t="s">
        <v>207</v>
      </c>
      <c r="O154" s="67"/>
      <c r="P154" s="67"/>
      <c r="Q154" s="67"/>
      <c r="R154" s="18"/>
      <c r="S154" s="22"/>
      <c r="T154" s="18"/>
      <c r="U154" s="18"/>
      <c r="V154" s="18"/>
      <c r="W154" s="18"/>
      <c r="X154" s="18"/>
      <c r="Y154" s="18"/>
      <c r="Z154" s="18"/>
      <c r="AA154" s="18"/>
    </row>
    <row r="155" spans="1:29" ht="12.75" customHeight="1" x14ac:dyDescent="0.35">
      <c r="A155" s="53"/>
      <c r="B155" s="5" t="s">
        <v>114</v>
      </c>
      <c r="C155" s="20">
        <f>SUM(C154:C154)</f>
        <v>34706.449999999997</v>
      </c>
      <c r="D155" s="36">
        <f>SUM(D153:D154)</f>
        <v>0</v>
      </c>
      <c r="E155" s="20">
        <f>SUM(E153:E154)</f>
        <v>75307.61</v>
      </c>
      <c r="F155" s="19"/>
      <c r="G155" s="36">
        <f>SUM(G153:G154)</f>
        <v>0</v>
      </c>
      <c r="H155" s="19"/>
      <c r="I155" s="20">
        <f>SUM(I153:I154)</f>
        <v>83000</v>
      </c>
      <c r="J155" s="19"/>
      <c r="K155" s="36">
        <f>SUM(K153:K154)</f>
        <v>0</v>
      </c>
      <c r="L155" s="19"/>
      <c r="M155" s="20">
        <f>SUM(M153:M154)</f>
        <v>87150</v>
      </c>
      <c r="N155" s="67"/>
      <c r="O155" s="67"/>
      <c r="P155" s="67"/>
      <c r="Q155" s="67"/>
      <c r="R155" s="22"/>
      <c r="S155" s="22"/>
      <c r="T155" s="22"/>
      <c r="U155" s="22"/>
      <c r="V155" s="22"/>
      <c r="W155" s="22"/>
      <c r="X155" s="22"/>
      <c r="Y155" s="22"/>
      <c r="Z155" s="22"/>
      <c r="AA155" s="22"/>
      <c r="AC155" s="14">
        <f>G155/4</f>
        <v>0</v>
      </c>
    </row>
    <row r="156" spans="1:29" ht="12.75" customHeight="1" x14ac:dyDescent="0.35">
      <c r="A156" s="53"/>
      <c r="C156" s="17"/>
      <c r="D156" s="37"/>
      <c r="E156" s="17"/>
      <c r="F156" s="17"/>
      <c r="G156" s="37"/>
      <c r="H156" s="17"/>
      <c r="I156" s="17"/>
      <c r="J156" s="17"/>
      <c r="K156" s="37"/>
      <c r="L156" s="17"/>
      <c r="M156" s="71"/>
      <c r="N156" s="67"/>
      <c r="O156" s="67"/>
      <c r="P156" s="67"/>
      <c r="Q156" s="67"/>
      <c r="R156" s="17"/>
      <c r="S156" s="17"/>
      <c r="T156" s="17"/>
      <c r="U156" s="17"/>
      <c r="V156" s="17"/>
      <c r="W156" s="17"/>
      <c r="X156" s="17"/>
      <c r="Y156" s="17"/>
      <c r="Z156" s="17"/>
      <c r="AA156" s="17"/>
    </row>
    <row r="157" spans="1:29" ht="12.75" customHeight="1" x14ac:dyDescent="0.35">
      <c r="A157" s="53">
        <v>14</v>
      </c>
      <c r="B157" s="3" t="s">
        <v>115</v>
      </c>
      <c r="C157" s="17"/>
      <c r="D157" s="37"/>
      <c r="E157" s="17"/>
      <c r="F157" s="17"/>
      <c r="G157" s="37"/>
      <c r="H157" s="17"/>
      <c r="I157" s="17"/>
      <c r="J157" s="17"/>
      <c r="K157" s="37"/>
      <c r="L157" s="17"/>
      <c r="M157" s="71"/>
      <c r="N157" s="67"/>
      <c r="O157" s="67"/>
      <c r="P157" s="67"/>
      <c r="Q157" s="67"/>
      <c r="R157" s="17"/>
      <c r="S157" s="17"/>
      <c r="T157" s="17"/>
      <c r="U157" s="17"/>
      <c r="V157" s="17"/>
      <c r="W157" s="17"/>
      <c r="X157" s="17"/>
      <c r="Y157" s="17"/>
      <c r="Z157" s="17"/>
      <c r="AA157" s="17"/>
    </row>
    <row r="158" spans="1:29" ht="12.75" customHeight="1" x14ac:dyDescent="0.35">
      <c r="A158" s="53"/>
      <c r="B158" s="1" t="s">
        <v>116</v>
      </c>
      <c r="C158" s="32">
        <v>0</v>
      </c>
      <c r="D158" s="35">
        <v>97921.01</v>
      </c>
      <c r="E158" s="32">
        <v>0</v>
      </c>
      <c r="F158" s="32"/>
      <c r="G158" s="35">
        <v>47742</v>
      </c>
      <c r="H158" s="32"/>
      <c r="I158" s="32">
        <v>0</v>
      </c>
      <c r="J158" s="32"/>
      <c r="K158" s="63">
        <f>G158*1.05</f>
        <v>50129.1</v>
      </c>
      <c r="L158" s="32"/>
      <c r="M158" s="32">
        <f>I158*1.05</f>
        <v>0</v>
      </c>
      <c r="N158" s="67"/>
      <c r="O158" s="67"/>
      <c r="P158" s="67"/>
      <c r="Q158" s="67"/>
      <c r="R158" s="17"/>
      <c r="S158" s="17"/>
      <c r="T158" s="17"/>
      <c r="U158" s="17"/>
      <c r="V158" s="17"/>
      <c r="W158" s="17"/>
      <c r="X158" s="17"/>
      <c r="Y158" s="17"/>
      <c r="Z158" s="17"/>
      <c r="AA158" s="17"/>
    </row>
    <row r="159" spans="1:29" ht="12.75" customHeight="1" x14ac:dyDescent="0.35">
      <c r="A159" s="53"/>
      <c r="B159" s="1" t="s">
        <v>117</v>
      </c>
      <c r="C159" s="32">
        <v>0</v>
      </c>
      <c r="D159" s="35">
        <v>12240.3</v>
      </c>
      <c r="E159" s="32">
        <v>0</v>
      </c>
      <c r="F159" s="32"/>
      <c r="G159" s="35">
        <f>51771+20000</f>
        <v>71771</v>
      </c>
      <c r="H159" s="32"/>
      <c r="I159" s="32">
        <v>0</v>
      </c>
      <c r="J159" s="32"/>
      <c r="K159" s="63">
        <v>25100</v>
      </c>
      <c r="L159" s="32"/>
      <c r="M159" s="32">
        <f>I159*1.05</f>
        <v>0</v>
      </c>
      <c r="N159" s="67" t="s">
        <v>214</v>
      </c>
      <c r="O159" s="67"/>
      <c r="P159" s="67"/>
      <c r="Q159" s="67"/>
      <c r="R159" s="17"/>
      <c r="S159" s="17"/>
      <c r="T159" s="17"/>
      <c r="U159" s="17"/>
      <c r="V159" s="17"/>
      <c r="W159" s="17"/>
      <c r="X159" s="17"/>
      <c r="Y159" s="17"/>
      <c r="Z159" s="17"/>
      <c r="AA159" s="17"/>
    </row>
    <row r="160" spans="1:29" ht="12.75" customHeight="1" x14ac:dyDescent="0.35">
      <c r="A160" s="53"/>
      <c r="B160" s="1" t="s">
        <v>118</v>
      </c>
      <c r="C160" s="32">
        <v>0</v>
      </c>
      <c r="D160" s="35">
        <v>1776.32</v>
      </c>
      <c r="E160" s="32">
        <v>0</v>
      </c>
      <c r="F160" s="32"/>
      <c r="G160" s="35">
        <v>10364</v>
      </c>
      <c r="H160" s="32"/>
      <c r="I160" s="32">
        <v>0</v>
      </c>
      <c r="J160" s="32"/>
      <c r="K160" s="63">
        <f>G160*1.05</f>
        <v>10882.2</v>
      </c>
      <c r="L160" s="32"/>
      <c r="M160" s="32">
        <f>I160*1.05</f>
        <v>0</v>
      </c>
      <c r="N160" s="67" t="s">
        <v>213</v>
      </c>
      <c r="O160" s="67"/>
      <c r="P160" s="67"/>
      <c r="Q160" s="67"/>
      <c r="R160" s="17"/>
      <c r="S160" s="17"/>
      <c r="T160" s="17"/>
      <c r="U160" s="17"/>
      <c r="V160" s="17"/>
      <c r="W160" s="17"/>
      <c r="X160" s="17"/>
      <c r="Y160" s="17"/>
      <c r="Z160" s="17"/>
      <c r="AA160" s="17"/>
    </row>
    <row r="161" spans="1:29" ht="12.75" customHeight="1" x14ac:dyDescent="0.35">
      <c r="A161" s="53"/>
      <c r="B161" s="5" t="s">
        <v>119</v>
      </c>
      <c r="C161" s="20">
        <f>SUM(C158:C160)</f>
        <v>0</v>
      </c>
      <c r="D161" s="36">
        <f>SUM(D158:D160)</f>
        <v>111937.63</v>
      </c>
      <c r="E161" s="20">
        <f>SUM(E158:E160)</f>
        <v>0</v>
      </c>
      <c r="F161" s="19"/>
      <c r="G161" s="36">
        <f>SUM(G158:G160)</f>
        <v>129877</v>
      </c>
      <c r="H161" s="19"/>
      <c r="I161" s="20">
        <f>SUM(I158:I160)</f>
        <v>0</v>
      </c>
      <c r="J161" s="19"/>
      <c r="K161" s="36">
        <f>SUM(K158:K160)</f>
        <v>86111.3</v>
      </c>
      <c r="L161" s="19"/>
      <c r="M161" s="20">
        <f>SUM(M158:M160)</f>
        <v>0</v>
      </c>
      <c r="N161" s="67"/>
      <c r="O161" s="67"/>
      <c r="P161" s="67"/>
      <c r="Q161" s="67"/>
      <c r="R161" s="22"/>
      <c r="S161" s="22"/>
      <c r="T161" s="22"/>
      <c r="U161" s="22"/>
      <c r="V161" s="22"/>
      <c r="W161" s="22"/>
      <c r="X161" s="22"/>
      <c r="Y161" s="22"/>
      <c r="Z161" s="22"/>
      <c r="AA161" s="22"/>
      <c r="AC161" s="14">
        <f>G161/4</f>
        <v>32469.25</v>
      </c>
    </row>
    <row r="162" spans="1:29" ht="12.75" customHeight="1" x14ac:dyDescent="0.35">
      <c r="A162" s="53"/>
      <c r="C162" s="17"/>
      <c r="D162" s="37"/>
      <c r="E162" s="17"/>
      <c r="F162" s="17"/>
      <c r="G162" s="37"/>
      <c r="H162" s="17"/>
      <c r="I162" s="17"/>
      <c r="J162" s="17"/>
      <c r="K162" s="37"/>
      <c r="L162" s="17"/>
      <c r="M162" s="71"/>
      <c r="N162" s="67"/>
      <c r="O162" s="67"/>
      <c r="P162" s="67"/>
      <c r="Q162" s="67"/>
      <c r="R162" s="17"/>
      <c r="S162" s="17"/>
      <c r="T162" s="17"/>
      <c r="U162" s="17"/>
      <c r="V162" s="17"/>
      <c r="W162" s="17"/>
      <c r="X162" s="17"/>
      <c r="Y162" s="17"/>
      <c r="Z162" s="17"/>
      <c r="AA162" s="17"/>
    </row>
    <row r="163" spans="1:29" ht="12.75" customHeight="1" x14ac:dyDescent="0.35">
      <c r="A163" s="53">
        <v>15</v>
      </c>
      <c r="B163" s="3" t="s">
        <v>120</v>
      </c>
      <c r="C163" s="17"/>
      <c r="D163" s="37"/>
      <c r="E163" s="17"/>
      <c r="F163" s="17"/>
      <c r="G163" s="37"/>
      <c r="H163" s="17"/>
      <c r="I163" s="17"/>
      <c r="J163" s="17"/>
      <c r="K163" s="37"/>
      <c r="L163" s="17"/>
      <c r="M163" s="71"/>
      <c r="N163" s="67"/>
      <c r="O163" s="67"/>
      <c r="P163" s="67"/>
      <c r="Q163" s="67"/>
      <c r="R163" s="17"/>
      <c r="S163" s="17"/>
      <c r="T163" s="17"/>
      <c r="U163" s="17"/>
      <c r="V163" s="17"/>
      <c r="W163" s="17"/>
      <c r="X163" s="17"/>
      <c r="Y163" s="17"/>
      <c r="Z163" s="17"/>
      <c r="AA163" s="17"/>
    </row>
    <row r="164" spans="1:29" ht="12.75" customHeight="1" x14ac:dyDescent="0.35">
      <c r="A164" s="53"/>
      <c r="B164" s="1" t="s">
        <v>55</v>
      </c>
      <c r="C164" s="18">
        <v>0</v>
      </c>
      <c r="D164" s="42">
        <v>130751.62</v>
      </c>
      <c r="E164" s="18">
        <v>157.02000000000001</v>
      </c>
      <c r="F164" s="19"/>
      <c r="G164" s="42">
        <v>134000</v>
      </c>
      <c r="H164" s="19"/>
      <c r="I164" s="18">
        <v>0</v>
      </c>
      <c r="J164" s="19"/>
      <c r="K164" s="37">
        <f>G164*1.05</f>
        <v>140700</v>
      </c>
      <c r="L164" s="19"/>
      <c r="M164" s="71">
        <f>I164*1.05</f>
        <v>0</v>
      </c>
      <c r="N164" s="67" t="s">
        <v>208</v>
      </c>
      <c r="O164" s="67"/>
      <c r="P164" s="67"/>
      <c r="Q164" s="67"/>
      <c r="R164" s="17"/>
      <c r="S164" s="17"/>
      <c r="T164" s="17"/>
      <c r="U164" s="17"/>
      <c r="V164" s="17"/>
      <c r="W164" s="17"/>
      <c r="X164" s="17"/>
      <c r="Y164" s="17"/>
      <c r="Z164" s="17"/>
      <c r="AA164" s="17"/>
    </row>
    <row r="165" spans="1:29" ht="12.75" customHeight="1" x14ac:dyDescent="0.35">
      <c r="A165" s="53"/>
      <c r="B165" s="5" t="s">
        <v>121</v>
      </c>
      <c r="C165" s="20">
        <f>SUM(C164:C164)</f>
        <v>0</v>
      </c>
      <c r="D165" s="36">
        <f>SUM(D164:D164)</f>
        <v>130751.62</v>
      </c>
      <c r="E165" s="20">
        <f>SUM(E164:E164)</f>
        <v>157.02000000000001</v>
      </c>
      <c r="F165" s="19"/>
      <c r="G165" s="36">
        <f>SUM(G164:G164)</f>
        <v>134000</v>
      </c>
      <c r="H165" s="19"/>
      <c r="I165" s="20">
        <f>SUM(I164:I164)</f>
        <v>0</v>
      </c>
      <c r="J165" s="19"/>
      <c r="K165" s="36">
        <f>SUM(K164:K164)</f>
        <v>140700</v>
      </c>
      <c r="L165" s="19"/>
      <c r="M165" s="20">
        <f>SUM(M164:M164)</f>
        <v>0</v>
      </c>
      <c r="N165" s="67"/>
      <c r="O165" s="67"/>
      <c r="P165" s="67"/>
      <c r="Q165" s="67"/>
      <c r="R165" s="22"/>
      <c r="S165" s="22"/>
      <c r="T165" s="22"/>
      <c r="U165" s="22"/>
      <c r="V165" s="22"/>
      <c r="W165" s="22"/>
      <c r="X165" s="22"/>
      <c r="Y165" s="22"/>
      <c r="Z165" s="22"/>
      <c r="AA165" s="22"/>
      <c r="AC165" s="14">
        <f>G165/4</f>
        <v>33500</v>
      </c>
    </row>
    <row r="166" spans="1:29" ht="12.75" customHeight="1" x14ac:dyDescent="0.35">
      <c r="A166" s="53"/>
      <c r="C166" s="17"/>
      <c r="D166" s="37"/>
      <c r="E166" s="17"/>
      <c r="F166" s="17"/>
      <c r="G166" s="37"/>
      <c r="H166" s="17"/>
      <c r="I166" s="17"/>
      <c r="J166" s="17"/>
      <c r="K166" s="37"/>
      <c r="L166" s="17"/>
      <c r="M166" s="71"/>
      <c r="N166" s="67"/>
      <c r="O166" s="67"/>
      <c r="P166" s="67"/>
      <c r="Q166" s="67"/>
      <c r="R166" s="17"/>
      <c r="S166" s="17"/>
      <c r="T166" s="17"/>
      <c r="U166" s="17"/>
      <c r="V166" s="17"/>
      <c r="W166" s="17"/>
      <c r="X166" s="17"/>
      <c r="Y166" s="17"/>
      <c r="Z166" s="17"/>
      <c r="AA166" s="17"/>
    </row>
    <row r="167" spans="1:29" ht="12.75" customHeight="1" x14ac:dyDescent="0.35">
      <c r="A167" s="53">
        <v>16</v>
      </c>
      <c r="B167" s="3" t="s">
        <v>122</v>
      </c>
      <c r="C167" s="17"/>
      <c r="D167" s="37"/>
      <c r="E167" s="17"/>
      <c r="F167" s="17"/>
      <c r="G167" s="37"/>
      <c r="H167" s="17"/>
      <c r="I167" s="17"/>
      <c r="J167" s="17"/>
      <c r="K167" s="37"/>
      <c r="L167" s="17"/>
      <c r="M167" s="71"/>
      <c r="N167" s="67"/>
      <c r="O167" s="67"/>
      <c r="P167" s="67"/>
      <c r="Q167" s="67"/>
      <c r="R167" s="17"/>
      <c r="S167" s="17"/>
      <c r="T167" s="17"/>
      <c r="U167" s="17"/>
      <c r="V167" s="17"/>
      <c r="W167" s="17"/>
      <c r="X167" s="17"/>
      <c r="Y167" s="17"/>
      <c r="Z167" s="17"/>
      <c r="AA167" s="17"/>
    </row>
    <row r="168" spans="1:29" ht="12.75" customHeight="1" x14ac:dyDescent="0.35">
      <c r="A168" s="53"/>
      <c r="B168" s="1" t="s">
        <v>123</v>
      </c>
      <c r="C168" s="32">
        <v>0</v>
      </c>
      <c r="D168" s="35">
        <v>2089.73</v>
      </c>
      <c r="E168" s="32">
        <v>2154.39</v>
      </c>
      <c r="F168" s="32"/>
      <c r="G168" s="35">
        <v>10000</v>
      </c>
      <c r="H168" s="32"/>
      <c r="I168" s="32">
        <v>10000</v>
      </c>
      <c r="J168" s="32"/>
      <c r="K168" s="35">
        <v>10000</v>
      </c>
      <c r="L168" s="32"/>
      <c r="M168" s="32">
        <v>10000</v>
      </c>
      <c r="N168" s="67"/>
      <c r="O168" s="67"/>
      <c r="P168" s="67"/>
      <c r="Q168" s="67"/>
      <c r="R168" s="18"/>
      <c r="S168" s="18"/>
      <c r="T168" s="18"/>
      <c r="U168" s="18"/>
      <c r="V168" s="18"/>
      <c r="W168" s="18"/>
      <c r="X168" s="18"/>
      <c r="Y168" s="18"/>
      <c r="Z168" s="18"/>
      <c r="AA168" s="18"/>
    </row>
    <row r="169" spans="1:29" ht="12.75" customHeight="1" x14ac:dyDescent="0.35">
      <c r="A169" s="53"/>
      <c r="B169" s="5" t="s">
        <v>124</v>
      </c>
      <c r="C169" s="20">
        <f>SUM(C168:C168)</f>
        <v>0</v>
      </c>
      <c r="D169" s="36">
        <f>SUM(D168:D168)</f>
        <v>2089.73</v>
      </c>
      <c r="E169" s="20">
        <f>SUM(E168:E168)</f>
        <v>2154.39</v>
      </c>
      <c r="F169" s="19"/>
      <c r="G169" s="36">
        <v>10000</v>
      </c>
      <c r="H169" s="19"/>
      <c r="I169" s="20">
        <v>10000</v>
      </c>
      <c r="J169" s="19"/>
      <c r="K169" s="36">
        <v>10000</v>
      </c>
      <c r="L169" s="19"/>
      <c r="M169" s="20">
        <v>10000</v>
      </c>
      <c r="N169" s="67"/>
      <c r="O169" s="67"/>
      <c r="P169" s="67"/>
      <c r="Q169" s="67"/>
      <c r="R169" s="22"/>
      <c r="S169" s="22"/>
      <c r="T169" s="22"/>
      <c r="U169" s="22"/>
      <c r="V169" s="22"/>
      <c r="W169" s="22"/>
      <c r="X169" s="22"/>
      <c r="Y169" s="22"/>
      <c r="Z169" s="22"/>
      <c r="AA169" s="22"/>
    </row>
    <row r="170" spans="1:29" ht="12.75" customHeight="1" x14ac:dyDescent="0.35">
      <c r="A170" s="53"/>
      <c r="C170" s="17"/>
      <c r="D170" s="37"/>
      <c r="E170" s="17"/>
      <c r="F170" s="17"/>
      <c r="G170" s="37"/>
      <c r="H170" s="17"/>
      <c r="I170" s="17"/>
      <c r="J170" s="17"/>
      <c r="K170" s="37"/>
      <c r="L170" s="17"/>
      <c r="M170" s="71"/>
      <c r="N170" s="67"/>
      <c r="O170" s="67"/>
      <c r="P170" s="67"/>
      <c r="Q170" s="67"/>
      <c r="R170" s="17"/>
      <c r="S170" s="17"/>
      <c r="T170" s="17"/>
      <c r="U170" s="17"/>
      <c r="V170" s="17"/>
      <c r="W170" s="17"/>
      <c r="X170" s="17"/>
      <c r="Y170" s="17"/>
      <c r="Z170" s="17"/>
      <c r="AA170" s="17"/>
    </row>
    <row r="171" spans="1:29" ht="12.75" customHeight="1" thickBot="1" x14ac:dyDescent="0.4">
      <c r="A171" s="53"/>
      <c r="B171" s="6" t="s">
        <v>125</v>
      </c>
      <c r="C171" s="16">
        <f>(0+((C148+C149+C150))+(C155)+(C161)+(C165)+(C169))-(0)</f>
        <v>39160.959999999999</v>
      </c>
      <c r="D171" s="38">
        <f>(0+((D148+D149+D150))+(D155)+(D161)+(D165)+(D169))-(0)</f>
        <v>244778.98</v>
      </c>
      <c r="E171" s="16">
        <f>(0+((E148+E149+E150))+(E155)+(E161)+(E165)+(E169))-(0)</f>
        <v>93269.09</v>
      </c>
      <c r="F171" s="19">
        <f>E171-E161</f>
        <v>93269.09</v>
      </c>
      <c r="G171" s="38">
        <f>(0+((G148+G149+G150))+(G155)+(G161)+(G165)+(G169))-(0)</f>
        <v>340666</v>
      </c>
      <c r="H171" s="19">
        <f>G171-G161</f>
        <v>210789</v>
      </c>
      <c r="I171" s="16">
        <f>(0+((I148+I149+I150))+(I155)+(I161)+(I165)+(I169))-(0)</f>
        <v>214500</v>
      </c>
      <c r="J171" s="19">
        <f>I171-I161</f>
        <v>214500</v>
      </c>
      <c r="K171" s="38">
        <f>(0+((K148+K149+K150))+(K155)+(K161)+(K165)+(K169))-(0)</f>
        <v>241311.3</v>
      </c>
      <c r="L171" s="19">
        <f>K171-K161</f>
        <v>155200</v>
      </c>
      <c r="M171" s="16">
        <f>(0+((M148+M149+M150))+(M155)+(M161)+(M165)+(M169))-(0)</f>
        <v>97150</v>
      </c>
      <c r="N171" s="67"/>
      <c r="O171" s="67"/>
      <c r="P171" s="67"/>
      <c r="Q171" s="67"/>
      <c r="R171" s="22"/>
      <c r="S171" s="22"/>
      <c r="T171" s="22"/>
      <c r="U171" s="22"/>
      <c r="V171" s="22"/>
      <c r="W171" s="22"/>
      <c r="X171" s="22"/>
      <c r="Y171" s="22"/>
      <c r="Z171" s="22"/>
      <c r="AA171" s="22"/>
      <c r="AC171" s="14">
        <f>G171/4</f>
        <v>85166.5</v>
      </c>
    </row>
    <row r="172" spans="1:29" ht="12.75" customHeight="1" thickTop="1" x14ac:dyDescent="0.35">
      <c r="A172" s="53"/>
      <c r="C172" s="17"/>
      <c r="D172" s="37"/>
      <c r="E172" s="17"/>
      <c r="F172" s="17"/>
      <c r="G172" s="37"/>
      <c r="H172" s="17"/>
      <c r="I172" s="17"/>
      <c r="J172" s="17"/>
      <c r="K172" s="37"/>
      <c r="L172" s="17"/>
      <c r="M172" s="71"/>
      <c r="N172" s="67"/>
      <c r="O172" s="67"/>
      <c r="P172" s="67"/>
      <c r="Q172" s="67"/>
      <c r="R172" s="17"/>
      <c r="S172" s="17"/>
      <c r="T172" s="17"/>
      <c r="U172" s="17"/>
      <c r="V172" s="17"/>
      <c r="W172" s="17"/>
      <c r="X172" s="17"/>
      <c r="Y172" s="17"/>
      <c r="Z172" s="17"/>
      <c r="AA172" s="17"/>
    </row>
    <row r="173" spans="1:29" ht="12.75" customHeight="1" thickBot="1" x14ac:dyDescent="0.4">
      <c r="A173" s="53"/>
      <c r="B173" s="6" t="s">
        <v>126</v>
      </c>
      <c r="C173" s="16">
        <f>(0+(0)+(C115)+(C129)+(C136)+(C145)+(C102)+(C171))-(0)</f>
        <v>595328.86</v>
      </c>
      <c r="D173" s="38">
        <f>(0+(0)+(D115)+(D129)+(D136)+(D145)+(D102)+(D171))-(0)</f>
        <v>1032353.76</v>
      </c>
      <c r="E173" s="33">
        <f>(0+(0)+(E115)+(E129)+(E136)+(E145)+(E102)+(E171))-(0)</f>
        <v>684588.63</v>
      </c>
      <c r="F173" s="19">
        <f>SUM(F102:F171)</f>
        <v>1261505.4500000002</v>
      </c>
      <c r="G173" s="38">
        <f>(0+(0)+(G115)+(G129)+(G136)+(G145)+(G102)+(G171))-(0)</f>
        <v>1027708</v>
      </c>
      <c r="H173" s="19">
        <f>SUM(H102:H171)</f>
        <v>1027708</v>
      </c>
      <c r="I173" s="38">
        <f>(0+(0)+(I115)+(I129)+(I136)+(I145)+(I102)+(I171))-(0)</f>
        <v>859765.56579999998</v>
      </c>
      <c r="J173" s="19">
        <f>SUM(J102:J171)</f>
        <v>859765.56579999998</v>
      </c>
      <c r="K173" s="38">
        <f>(0+(0)+(K115)+(K129)+(K136)+(K145)+(K102)+(K171))-(0)</f>
        <v>970039.16448400007</v>
      </c>
      <c r="L173" s="19">
        <f>SUM(L102:L171)</f>
        <v>970039.16448400007</v>
      </c>
      <c r="M173" s="16">
        <f>(0+(0)+(M115)+(M129)+(M136)+(M145)+(M102)+(M171))-(0)</f>
        <v>777015.82159432</v>
      </c>
      <c r="N173" s="67"/>
      <c r="O173" s="67"/>
      <c r="P173" s="67"/>
      <c r="Q173" s="67"/>
      <c r="R173" s="22">
        <f>K173-L173</f>
        <v>0</v>
      </c>
      <c r="S173" s="25"/>
      <c r="T173" s="22"/>
      <c r="U173" s="22"/>
      <c r="V173" s="22"/>
      <c r="W173" s="22"/>
      <c r="X173" s="22"/>
      <c r="Y173" s="22"/>
      <c r="Z173" s="22"/>
      <c r="AA173" s="22"/>
      <c r="AC173" s="14">
        <f>G173/4</f>
        <v>256927</v>
      </c>
    </row>
    <row r="174" spans="1:29" ht="12.75" customHeight="1" thickTop="1" x14ac:dyDescent="0.35">
      <c r="A174" s="53"/>
      <c r="C174" s="17"/>
      <c r="D174" s="37"/>
      <c r="E174" s="17"/>
      <c r="F174" s="17"/>
      <c r="G174" s="37"/>
      <c r="H174" s="37"/>
      <c r="I174" s="17"/>
      <c r="J174" s="17"/>
      <c r="K174" s="37"/>
      <c r="L174" s="37"/>
      <c r="M174" s="71"/>
      <c r="N174" s="67"/>
      <c r="O174" s="67"/>
      <c r="P174" s="67"/>
      <c r="Q174" s="67"/>
      <c r="R174" s="17"/>
      <c r="S174" s="30"/>
      <c r="T174" s="17"/>
      <c r="U174" s="17"/>
      <c r="V174" s="17"/>
      <c r="W174" s="17"/>
      <c r="X174" s="17"/>
      <c r="Y174" s="17"/>
      <c r="Z174" s="17"/>
      <c r="AA174" s="17"/>
    </row>
    <row r="175" spans="1:29" ht="12.75" customHeight="1" thickBot="1" x14ac:dyDescent="0.4">
      <c r="A175" s="53">
        <v>17</v>
      </c>
      <c r="B175" s="6" t="s">
        <v>168</v>
      </c>
      <c r="C175" s="21">
        <f>(C90)+(0)-(C173)</f>
        <v>-84265.87</v>
      </c>
      <c r="D175" s="43">
        <f>(D90)+(0)-(D173)</f>
        <v>-181487.35999999987</v>
      </c>
      <c r="E175" s="16">
        <f>(E90)+(0)-(E173)</f>
        <v>37392.890000000014</v>
      </c>
      <c r="F175" s="19"/>
      <c r="G175" s="38">
        <f>(G90)+(0)-(G173)</f>
        <v>22960.349469090812</v>
      </c>
      <c r="H175" s="38"/>
      <c r="I175" s="66">
        <f>(I90)+(0)-(I173)</f>
        <v>20146.91165454546</v>
      </c>
      <c r="J175" s="16"/>
      <c r="K175" s="66">
        <f>(K90)+(0)-(K173)</f>
        <v>28002.241343272734</v>
      </c>
      <c r="L175" s="58"/>
      <c r="M175" s="16">
        <f>(M90)+(0)-(M173)</f>
        <v>24695.562024316518</v>
      </c>
      <c r="N175" s="67"/>
      <c r="O175" s="67"/>
      <c r="P175" s="67"/>
      <c r="Q175" s="67"/>
      <c r="R175" s="22"/>
      <c r="S175" s="30"/>
      <c r="T175" s="22"/>
      <c r="U175" s="22"/>
      <c r="V175" s="22"/>
      <c r="W175" s="22"/>
      <c r="X175" s="22"/>
      <c r="Y175" s="22"/>
      <c r="Z175" s="22"/>
      <c r="AA175" s="22"/>
      <c r="AB175" s="17">
        <f>K175-AB52</f>
        <v>-22428.965014909161</v>
      </c>
      <c r="AC175" s="14">
        <f>G175/4</f>
        <v>5740.087367272703</v>
      </c>
    </row>
    <row r="176" spans="1:29" ht="12.75" customHeight="1" thickTop="1" x14ac:dyDescent="0.35">
      <c r="A176" s="53"/>
      <c r="N176" s="67"/>
      <c r="O176" s="67"/>
      <c r="P176" s="67"/>
      <c r="Q176" s="67"/>
    </row>
    <row r="177" spans="1:19" ht="12.75" customHeight="1" x14ac:dyDescent="0.35">
      <c r="A177" s="53"/>
      <c r="B177" s="3" t="s">
        <v>127</v>
      </c>
      <c r="N177" s="67"/>
      <c r="O177" s="67"/>
      <c r="P177" s="67"/>
      <c r="Q177" s="67"/>
    </row>
    <row r="178" spans="1:19" ht="12.75" customHeight="1" x14ac:dyDescent="0.35">
      <c r="A178" s="53"/>
      <c r="B178" s="1" t="s">
        <v>128</v>
      </c>
      <c r="C178" s="32">
        <v>0</v>
      </c>
      <c r="D178" s="35">
        <v>0</v>
      </c>
      <c r="E178" s="32">
        <v>30256.32</v>
      </c>
      <c r="F178" s="2"/>
      <c r="N178" s="67"/>
      <c r="O178" s="67"/>
      <c r="P178" s="67"/>
      <c r="Q178" s="67"/>
    </row>
    <row r="179" spans="1:19" ht="12.75" customHeight="1" x14ac:dyDescent="0.35">
      <c r="A179" s="53"/>
      <c r="B179" s="5" t="s">
        <v>129</v>
      </c>
      <c r="C179" s="32">
        <f>SUM(C178:C178)</f>
        <v>0</v>
      </c>
      <c r="D179" s="35">
        <f>SUM(D178:D178)</f>
        <v>0</v>
      </c>
      <c r="E179" s="32">
        <f>SUM(E178:E178)</f>
        <v>30256.32</v>
      </c>
      <c r="F179" s="2"/>
      <c r="N179" s="67"/>
      <c r="O179" s="67"/>
      <c r="P179" s="67"/>
      <c r="Q179" s="67"/>
    </row>
    <row r="180" spans="1:19" ht="12.75" customHeight="1" x14ac:dyDescent="0.35">
      <c r="A180" s="53"/>
      <c r="C180" s="17"/>
      <c r="D180" s="37"/>
      <c r="E180" s="17"/>
      <c r="N180" s="67"/>
      <c r="O180" s="67"/>
      <c r="P180" s="67"/>
      <c r="Q180" s="67"/>
    </row>
    <row r="181" spans="1:19" ht="12.75" customHeight="1" thickBot="1" x14ac:dyDescent="0.4">
      <c r="A181" s="53"/>
      <c r="B181" s="6" t="s">
        <v>130</v>
      </c>
      <c r="C181" s="21">
        <f>(C175)+(0)-(C179)</f>
        <v>-84265.87</v>
      </c>
      <c r="D181" s="43">
        <f>(D175)+(0)-(D179)</f>
        <v>-181487.35999999987</v>
      </c>
      <c r="E181" s="21">
        <f>(E175)+(0)-(E179)</f>
        <v>7136.5700000000143</v>
      </c>
      <c r="F181" s="2"/>
      <c r="G181" s="43">
        <f>G175</f>
        <v>22960.349469090812</v>
      </c>
      <c r="H181" s="43"/>
      <c r="I181" s="21">
        <f>I175</f>
        <v>20146.91165454546</v>
      </c>
      <c r="J181" s="21"/>
      <c r="K181" s="43">
        <f>K175</f>
        <v>28002.241343272734</v>
      </c>
      <c r="L181" s="60"/>
      <c r="M181" s="21">
        <f>M175</f>
        <v>24695.562024316518</v>
      </c>
      <c r="N181" s="67"/>
      <c r="O181" s="67"/>
      <c r="P181" s="67"/>
      <c r="Q181" s="67"/>
    </row>
    <row r="182" spans="1:19" ht="16.5" customHeight="1" thickTop="1" x14ac:dyDescent="0.35">
      <c r="A182" s="53"/>
      <c r="N182" s="67"/>
      <c r="O182" s="67"/>
      <c r="P182" s="67"/>
      <c r="Q182" s="67"/>
    </row>
    <row r="183" spans="1:19" ht="12.75" customHeight="1" x14ac:dyDescent="0.35">
      <c r="A183" s="53"/>
      <c r="C183" s="9" t="s">
        <v>2</v>
      </c>
      <c r="D183" s="44" t="s">
        <v>1</v>
      </c>
      <c r="E183" s="9" t="s">
        <v>0</v>
      </c>
      <c r="F183" s="2"/>
      <c r="G183" s="46">
        <v>43617</v>
      </c>
      <c r="H183" s="46"/>
      <c r="I183" s="47">
        <v>43983</v>
      </c>
      <c r="J183" s="47"/>
      <c r="K183" s="46">
        <v>44348</v>
      </c>
      <c r="L183" s="46"/>
      <c r="M183" s="70">
        <v>44348</v>
      </c>
      <c r="N183" s="67"/>
      <c r="O183" s="67"/>
      <c r="P183" s="67"/>
      <c r="Q183" s="67"/>
    </row>
    <row r="184" spans="1:19" ht="12.75" customHeight="1" x14ac:dyDescent="0.35">
      <c r="A184" s="53"/>
      <c r="B184" s="31"/>
      <c r="G184" s="44" t="s">
        <v>131</v>
      </c>
      <c r="H184" s="44"/>
      <c r="I184" s="9" t="s">
        <v>132</v>
      </c>
      <c r="J184" s="9"/>
      <c r="K184" s="44" t="s">
        <v>132</v>
      </c>
      <c r="L184" s="44"/>
      <c r="M184" s="9" t="s">
        <v>132</v>
      </c>
      <c r="N184" s="67"/>
      <c r="O184" s="67"/>
      <c r="P184" s="67"/>
      <c r="Q184" s="67"/>
      <c r="R184" s="31"/>
      <c r="S184" s="31"/>
    </row>
    <row r="185" spans="1:19" ht="12.75" customHeight="1" x14ac:dyDescent="0.35">
      <c r="A185" s="53"/>
      <c r="B185" s="31"/>
      <c r="C185" s="31"/>
      <c r="D185" s="31"/>
      <c r="E185" s="31"/>
      <c r="F185" s="31"/>
      <c r="G185" s="31"/>
      <c r="H185" s="31"/>
      <c r="I185" s="31"/>
      <c r="J185" s="31"/>
      <c r="K185" s="31"/>
      <c r="L185" s="31"/>
      <c r="N185" s="67"/>
      <c r="O185" s="67"/>
      <c r="P185" s="67"/>
      <c r="Q185" s="67"/>
      <c r="R185" s="31"/>
      <c r="S185" s="31"/>
    </row>
    <row r="186" spans="1:19" ht="12.75" customHeight="1" x14ac:dyDescent="0.35">
      <c r="A186" s="87"/>
      <c r="B186" s="31"/>
      <c r="C186" s="31"/>
      <c r="D186" s="31"/>
      <c r="E186" s="31"/>
      <c r="F186" s="31"/>
      <c r="G186" s="31"/>
      <c r="H186" s="31"/>
      <c r="I186" s="31"/>
      <c r="J186" s="31"/>
      <c r="K186" s="31"/>
      <c r="L186" s="31"/>
      <c r="N186" s="67"/>
      <c r="O186" s="67"/>
      <c r="P186" s="67"/>
      <c r="Q186" s="67"/>
      <c r="R186" s="31"/>
      <c r="S186" s="31"/>
    </row>
    <row r="187" spans="1:19" ht="12.75" customHeight="1" x14ac:dyDescent="0.35">
      <c r="A187" s="87"/>
      <c r="B187" s="88"/>
      <c r="C187" s="88"/>
      <c r="D187" s="88"/>
      <c r="E187" s="88"/>
      <c r="F187" s="31"/>
      <c r="G187" s="31"/>
      <c r="H187" s="31"/>
      <c r="I187" s="31"/>
      <c r="J187" s="31"/>
      <c r="K187" s="31"/>
      <c r="L187" s="31"/>
      <c r="N187" s="67"/>
      <c r="O187" s="67"/>
      <c r="P187" s="67"/>
      <c r="Q187" s="67"/>
      <c r="R187" s="31"/>
      <c r="S187" s="31"/>
    </row>
    <row r="188" spans="1:19" ht="27.75" customHeight="1" x14ac:dyDescent="0.35">
      <c r="A188" s="87"/>
      <c r="B188" s="88"/>
      <c r="C188" s="88"/>
      <c r="D188" s="88"/>
      <c r="E188" s="88"/>
      <c r="F188" s="31"/>
      <c r="G188" s="31"/>
      <c r="H188" s="31"/>
      <c r="I188" s="31"/>
      <c r="J188" s="31"/>
      <c r="K188" s="31"/>
      <c r="L188" s="31"/>
      <c r="N188" s="67"/>
      <c r="O188" s="67"/>
      <c r="P188" s="67"/>
      <c r="Q188" s="67"/>
      <c r="R188" s="31"/>
      <c r="S188" s="31"/>
    </row>
    <row r="189" spans="1:19" ht="12.75" customHeight="1" x14ac:dyDescent="0.35">
      <c r="A189" s="87"/>
      <c r="B189" s="89"/>
      <c r="C189" s="88"/>
      <c r="D189" s="88"/>
      <c r="E189" s="88"/>
      <c r="F189" s="31"/>
      <c r="G189" s="31"/>
      <c r="H189" s="31"/>
      <c r="I189" s="31"/>
      <c r="J189" s="31"/>
      <c r="K189" s="31"/>
      <c r="L189" s="31"/>
      <c r="N189" s="67"/>
      <c r="O189" s="67"/>
      <c r="P189" s="67"/>
      <c r="Q189" s="67"/>
      <c r="R189" s="31"/>
      <c r="S189" s="31"/>
    </row>
    <row r="190" spans="1:19" ht="12.75" customHeight="1" x14ac:dyDescent="0.35">
      <c r="A190" s="87"/>
      <c r="B190" s="89"/>
      <c r="C190" s="88"/>
      <c r="D190" s="88"/>
      <c r="E190" s="88"/>
      <c r="F190" s="31"/>
      <c r="G190" s="31"/>
      <c r="H190" s="31"/>
      <c r="I190" s="31"/>
      <c r="J190" s="31"/>
      <c r="K190" s="31"/>
      <c r="L190" s="31"/>
      <c r="N190" s="67"/>
      <c r="O190" s="67"/>
      <c r="P190" s="67"/>
      <c r="Q190" s="67"/>
      <c r="R190" s="31"/>
      <c r="S190" s="31"/>
    </row>
    <row r="191" spans="1:19" ht="12.75" customHeight="1" x14ac:dyDescent="0.35">
      <c r="A191" s="87"/>
      <c r="B191" s="90"/>
      <c r="C191" s="91"/>
      <c r="D191" s="91"/>
      <c r="E191" s="92"/>
      <c r="F191" s="31"/>
      <c r="G191" s="31"/>
      <c r="H191" s="31"/>
      <c r="I191" s="31"/>
      <c r="J191" s="31"/>
      <c r="K191" s="31"/>
      <c r="L191" s="31"/>
      <c r="N191" s="67"/>
      <c r="O191" s="67"/>
      <c r="P191" s="67"/>
      <c r="Q191" s="67"/>
      <c r="R191" s="31"/>
      <c r="S191" s="31"/>
    </row>
    <row r="192" spans="1:19" ht="12.75" customHeight="1" x14ac:dyDescent="0.35">
      <c r="A192" s="87"/>
      <c r="B192" s="89"/>
      <c r="C192" s="88"/>
      <c r="D192" s="88"/>
      <c r="E192" s="92"/>
      <c r="F192" s="31"/>
      <c r="G192" s="31"/>
      <c r="H192" s="31"/>
      <c r="I192" s="31"/>
      <c r="J192" s="31"/>
      <c r="K192" s="31"/>
      <c r="L192" s="31"/>
      <c r="N192" s="67"/>
      <c r="O192" s="67"/>
      <c r="P192" s="67"/>
      <c r="Q192" s="67"/>
      <c r="R192" s="31"/>
      <c r="S192" s="31"/>
    </row>
    <row r="193" spans="1:19" ht="12.75" customHeight="1" x14ac:dyDescent="0.35">
      <c r="A193" s="87"/>
      <c r="B193" s="89"/>
      <c r="C193" s="88"/>
      <c r="D193" s="88"/>
      <c r="E193" s="88"/>
      <c r="F193" s="31"/>
      <c r="G193" s="31"/>
      <c r="H193" s="31"/>
      <c r="I193" s="31"/>
      <c r="J193" s="31"/>
      <c r="K193" s="31"/>
      <c r="L193" s="31"/>
      <c r="N193" s="67"/>
      <c r="O193" s="67"/>
      <c r="P193" s="67"/>
      <c r="Q193" s="67"/>
      <c r="R193" s="31"/>
      <c r="S193" s="31"/>
    </row>
    <row r="194" spans="1:19" ht="12.75" customHeight="1" x14ac:dyDescent="0.35">
      <c r="A194" s="87"/>
      <c r="B194" s="90"/>
      <c r="C194" s="91"/>
      <c r="D194" s="88"/>
      <c r="E194" s="93"/>
      <c r="F194" s="31"/>
      <c r="G194" s="31"/>
      <c r="H194" s="31"/>
      <c r="I194" s="31"/>
      <c r="J194" s="31"/>
      <c r="K194" s="31"/>
      <c r="L194" s="31"/>
      <c r="N194" s="67"/>
      <c r="O194" s="67"/>
      <c r="P194" s="67"/>
      <c r="Q194" s="67"/>
      <c r="R194" s="31"/>
      <c r="S194" s="31"/>
    </row>
    <row r="195" spans="1:19" ht="12.75" customHeight="1" x14ac:dyDescent="0.35">
      <c r="A195" s="87"/>
      <c r="B195" s="90"/>
      <c r="C195" s="91"/>
      <c r="D195" s="91"/>
      <c r="E195" s="93"/>
      <c r="F195" s="31"/>
      <c r="G195" s="31"/>
      <c r="H195" s="31"/>
      <c r="I195" s="31"/>
      <c r="J195" s="31"/>
      <c r="K195" s="31"/>
      <c r="L195" s="31"/>
      <c r="N195" s="67"/>
      <c r="O195" s="67"/>
      <c r="P195" s="67"/>
      <c r="Q195" s="67"/>
      <c r="R195" s="31"/>
      <c r="S195" s="31"/>
    </row>
    <row r="196" spans="1:19" ht="12.75" customHeight="1" x14ac:dyDescent="0.35">
      <c r="A196" s="87"/>
      <c r="B196" s="89"/>
      <c r="C196" s="91"/>
      <c r="D196" s="88"/>
      <c r="E196" s="93"/>
      <c r="F196" s="31"/>
      <c r="G196" s="31"/>
      <c r="H196" s="31"/>
      <c r="I196" s="31"/>
      <c r="J196" s="31"/>
      <c r="K196" s="31"/>
      <c r="L196" s="31"/>
      <c r="N196" s="67"/>
      <c r="O196" s="67"/>
      <c r="P196" s="67"/>
      <c r="Q196" s="67"/>
      <c r="R196" s="31"/>
      <c r="S196" s="31"/>
    </row>
    <row r="197" spans="1:19" ht="12.75" customHeight="1" x14ac:dyDescent="0.35">
      <c r="A197" s="87"/>
      <c r="B197" s="89"/>
      <c r="C197" s="88"/>
      <c r="D197" s="88"/>
      <c r="E197" s="93"/>
      <c r="F197" s="31"/>
      <c r="G197" s="31"/>
      <c r="H197" s="31"/>
      <c r="I197" s="31"/>
      <c r="J197" s="31"/>
      <c r="K197" s="31"/>
      <c r="L197" s="31"/>
      <c r="N197" s="67"/>
      <c r="O197" s="67"/>
      <c r="P197" s="67"/>
      <c r="Q197" s="67"/>
      <c r="R197" s="31"/>
      <c r="S197" s="31"/>
    </row>
    <row r="198" spans="1:19" ht="12.75" customHeight="1" x14ac:dyDescent="0.35">
      <c r="A198" s="87"/>
      <c r="B198" s="89"/>
      <c r="C198" s="88"/>
      <c r="D198" s="88"/>
      <c r="E198" s="93"/>
      <c r="F198" s="31"/>
      <c r="G198" s="31"/>
      <c r="H198" s="31"/>
      <c r="I198" s="31"/>
      <c r="J198" s="31"/>
      <c r="K198" s="31"/>
      <c r="L198" s="31"/>
      <c r="N198" s="31"/>
      <c r="O198" s="31"/>
      <c r="P198" s="31"/>
      <c r="Q198" s="31"/>
      <c r="R198" s="31"/>
      <c r="S198" s="31"/>
    </row>
    <row r="199" spans="1:19" ht="12.75" customHeight="1" x14ac:dyDescent="0.35">
      <c r="A199" s="87"/>
      <c r="B199" s="89"/>
      <c r="C199" s="88"/>
      <c r="D199" s="88"/>
      <c r="E199" s="93"/>
      <c r="F199" s="31"/>
      <c r="G199" s="31"/>
      <c r="H199" s="31"/>
      <c r="I199" s="31"/>
      <c r="J199" s="31"/>
      <c r="K199" s="31"/>
      <c r="L199" s="31"/>
      <c r="N199" s="31"/>
      <c r="O199" s="31"/>
      <c r="P199" s="31"/>
      <c r="Q199" s="31"/>
      <c r="R199" s="31"/>
      <c r="S199" s="31"/>
    </row>
    <row r="200" spans="1:19" ht="12.75" customHeight="1" x14ac:dyDescent="0.35">
      <c r="A200" s="87"/>
      <c r="B200" s="89"/>
      <c r="C200" s="88"/>
      <c r="D200" s="91"/>
      <c r="E200" s="93"/>
      <c r="F200" s="31"/>
      <c r="G200" s="31"/>
      <c r="H200" s="31"/>
      <c r="I200" s="31"/>
      <c r="J200" s="31"/>
      <c r="K200" s="31"/>
      <c r="L200" s="31"/>
      <c r="N200" s="31"/>
      <c r="O200" s="31"/>
      <c r="P200" s="31"/>
      <c r="Q200" s="31"/>
      <c r="R200" s="31"/>
      <c r="S200" s="31"/>
    </row>
    <row r="201" spans="1:19" ht="12.75" customHeight="1" x14ac:dyDescent="0.35">
      <c r="A201" s="87"/>
      <c r="B201" s="89"/>
      <c r="C201" s="88"/>
      <c r="D201" s="88"/>
      <c r="E201" s="93"/>
      <c r="F201" s="31"/>
      <c r="G201" s="31"/>
      <c r="H201" s="31"/>
      <c r="I201" s="31"/>
      <c r="J201" s="31"/>
      <c r="K201" s="31"/>
      <c r="L201" s="31"/>
      <c r="N201" s="31"/>
      <c r="O201" s="31"/>
      <c r="P201" s="31"/>
      <c r="Q201" s="31"/>
      <c r="R201" s="31"/>
      <c r="S201" s="31"/>
    </row>
    <row r="202" spans="1:19" ht="12.75" customHeight="1" x14ac:dyDescent="0.35">
      <c r="A202" s="87"/>
      <c r="B202" s="90"/>
      <c r="C202" s="93"/>
      <c r="D202" s="91"/>
      <c r="E202" s="93"/>
      <c r="F202" s="31"/>
      <c r="G202" s="31"/>
      <c r="H202" s="31"/>
      <c r="I202" s="31"/>
      <c r="J202" s="31"/>
      <c r="K202" s="31"/>
      <c r="L202" s="31"/>
      <c r="N202" s="31"/>
      <c r="O202" s="31"/>
      <c r="P202" s="31"/>
      <c r="Q202" s="31"/>
      <c r="R202" s="31"/>
      <c r="S202" s="31"/>
    </row>
    <row r="203" spans="1:19" ht="12.75" customHeight="1" x14ac:dyDescent="0.35">
      <c r="A203" s="87"/>
      <c r="B203" s="89"/>
      <c r="C203" s="88"/>
      <c r="D203" s="88"/>
      <c r="E203" s="93"/>
      <c r="F203" s="31"/>
      <c r="G203" s="31"/>
      <c r="H203" s="31"/>
      <c r="I203" s="31"/>
      <c r="J203" s="31"/>
      <c r="K203" s="31"/>
      <c r="L203" s="31"/>
      <c r="N203" s="31"/>
      <c r="O203" s="31"/>
      <c r="P203" s="31"/>
      <c r="Q203" s="31"/>
      <c r="R203" s="31"/>
      <c r="S203" s="31"/>
    </row>
    <row r="204" spans="1:19" ht="12.75" customHeight="1" x14ac:dyDescent="0.35">
      <c r="A204" s="87"/>
      <c r="B204" s="90"/>
      <c r="C204" s="91"/>
      <c r="D204" s="91"/>
      <c r="E204" s="93"/>
      <c r="F204" s="31"/>
      <c r="G204" s="31"/>
      <c r="H204" s="31"/>
      <c r="I204" s="31"/>
      <c r="J204" s="31"/>
      <c r="K204" s="31"/>
      <c r="L204" s="31"/>
      <c r="N204" s="31"/>
      <c r="O204" s="31"/>
      <c r="P204" s="31"/>
      <c r="Q204" s="31"/>
      <c r="R204" s="31"/>
      <c r="S204" s="31"/>
    </row>
    <row r="205" spans="1:19" ht="12.75" customHeight="1" x14ac:dyDescent="0.35">
      <c r="A205" s="87"/>
      <c r="B205" s="90"/>
      <c r="C205" s="91"/>
      <c r="D205" s="91"/>
      <c r="E205" s="93"/>
      <c r="F205" s="31"/>
      <c r="G205" s="31"/>
      <c r="H205" s="31"/>
      <c r="I205" s="31"/>
      <c r="J205" s="31"/>
      <c r="K205" s="31"/>
      <c r="L205" s="31"/>
      <c r="N205" s="31"/>
      <c r="O205" s="31"/>
      <c r="P205" s="31"/>
      <c r="Q205" s="31"/>
      <c r="R205" s="31"/>
      <c r="S205" s="31"/>
    </row>
    <row r="206" spans="1:19" ht="12.75" customHeight="1" x14ac:dyDescent="0.35">
      <c r="A206" s="87"/>
      <c r="B206" s="89"/>
      <c r="C206" s="91"/>
      <c r="D206" s="88"/>
      <c r="E206" s="93"/>
      <c r="F206" s="31"/>
      <c r="G206" s="31"/>
      <c r="H206" s="31"/>
      <c r="I206" s="31"/>
      <c r="J206" s="31"/>
      <c r="K206" s="31"/>
      <c r="L206" s="31"/>
      <c r="N206" s="31"/>
      <c r="O206" s="31"/>
      <c r="P206" s="31"/>
      <c r="Q206" s="31"/>
      <c r="R206" s="31"/>
      <c r="S206" s="31"/>
    </row>
    <row r="207" spans="1:19" ht="12.75" customHeight="1" x14ac:dyDescent="0.35">
      <c r="A207" s="87"/>
      <c r="B207" s="90"/>
      <c r="C207" s="91"/>
      <c r="D207" s="88"/>
      <c r="E207" s="93"/>
      <c r="F207" s="31"/>
      <c r="G207" s="31"/>
      <c r="H207" s="31"/>
      <c r="I207" s="31"/>
      <c r="J207" s="31"/>
      <c r="K207" s="31"/>
      <c r="L207" s="31"/>
      <c r="N207" s="31"/>
      <c r="O207" s="31"/>
      <c r="P207" s="31"/>
      <c r="Q207" s="31"/>
      <c r="R207" s="31"/>
      <c r="S207" s="31"/>
    </row>
    <row r="208" spans="1:19" ht="12.75" customHeight="1" x14ac:dyDescent="0.35">
      <c r="A208" s="87"/>
      <c r="B208" s="89"/>
      <c r="C208" s="91"/>
      <c r="D208" s="88"/>
      <c r="E208" s="88"/>
      <c r="F208" s="31"/>
      <c r="G208" s="31"/>
      <c r="H208" s="31"/>
      <c r="I208" s="31"/>
      <c r="J208" s="31"/>
      <c r="K208" s="31"/>
      <c r="L208" s="31"/>
      <c r="N208" s="31"/>
      <c r="O208" s="31"/>
      <c r="P208" s="31"/>
      <c r="Q208" s="31"/>
      <c r="R208" s="31"/>
      <c r="S208" s="31"/>
    </row>
    <row r="209" spans="1:19" ht="12.75" customHeight="1" x14ac:dyDescent="0.35">
      <c r="A209" s="87"/>
      <c r="B209" s="89"/>
      <c r="C209" s="88"/>
      <c r="D209" s="94"/>
      <c r="E209" s="93"/>
      <c r="F209" s="31"/>
      <c r="G209" s="31"/>
      <c r="H209" s="31"/>
      <c r="I209" s="31"/>
      <c r="J209" s="31"/>
      <c r="K209" s="31"/>
      <c r="L209" s="31"/>
      <c r="N209" s="31"/>
      <c r="O209" s="31"/>
      <c r="P209" s="31"/>
      <c r="Q209" s="31"/>
      <c r="R209" s="31"/>
      <c r="S209" s="31"/>
    </row>
    <row r="210" spans="1:19" ht="12.75" customHeight="1" x14ac:dyDescent="0.35">
      <c r="A210" s="87"/>
      <c r="B210" s="89"/>
      <c r="C210" s="88"/>
      <c r="D210" s="94"/>
      <c r="E210" s="93"/>
      <c r="F210" s="31"/>
      <c r="G210" s="31"/>
      <c r="H210" s="31"/>
      <c r="I210" s="31"/>
      <c r="J210" s="31"/>
      <c r="K210" s="31"/>
      <c r="L210" s="31"/>
      <c r="N210" s="31"/>
      <c r="O210" s="31"/>
      <c r="P210" s="31"/>
      <c r="Q210" s="31"/>
      <c r="R210" s="31"/>
      <c r="S210" s="31"/>
    </row>
    <row r="211" spans="1:19" ht="12.75" customHeight="1" x14ac:dyDescent="0.35">
      <c r="A211" s="31"/>
      <c r="B211" s="89"/>
      <c r="C211" s="88"/>
      <c r="D211" s="94"/>
      <c r="E211" s="93"/>
      <c r="F211" s="31"/>
      <c r="G211" s="31"/>
      <c r="H211" s="31"/>
      <c r="I211" s="31"/>
      <c r="J211" s="31"/>
      <c r="K211" s="31"/>
      <c r="L211" s="31"/>
      <c r="N211" s="31"/>
      <c r="O211" s="31"/>
      <c r="P211" s="31"/>
      <c r="Q211" s="31"/>
      <c r="R211" s="31"/>
      <c r="S211" s="31"/>
    </row>
    <row r="212" spans="1:19" ht="12.75" customHeight="1" x14ac:dyDescent="0.35">
      <c r="A212" s="31"/>
      <c r="B212" s="89"/>
      <c r="C212" s="88"/>
      <c r="D212" s="94"/>
      <c r="E212" s="93"/>
      <c r="F212" s="31"/>
      <c r="G212" s="31"/>
      <c r="H212" s="31"/>
      <c r="I212" s="31"/>
      <c r="J212" s="31"/>
      <c r="K212" s="31"/>
      <c r="L212" s="31"/>
      <c r="N212" s="31"/>
      <c r="O212" s="31"/>
      <c r="P212" s="31"/>
      <c r="Q212" s="31"/>
      <c r="R212" s="31"/>
      <c r="S212" s="31"/>
    </row>
    <row r="213" spans="1:19" ht="12.75" customHeight="1" x14ac:dyDescent="0.35">
      <c r="A213" s="31"/>
      <c r="B213" s="89"/>
      <c r="C213" s="88"/>
      <c r="D213" s="94"/>
      <c r="E213" s="93"/>
      <c r="F213" s="31"/>
      <c r="G213" s="31"/>
      <c r="H213" s="31"/>
      <c r="I213" s="31"/>
      <c r="J213" s="31"/>
      <c r="K213" s="31"/>
      <c r="L213" s="31"/>
      <c r="N213" s="31"/>
      <c r="O213" s="31"/>
      <c r="P213" s="31"/>
      <c r="Q213" s="31"/>
      <c r="R213" s="31"/>
      <c r="S213" s="31"/>
    </row>
    <row r="214" spans="1:19" ht="12.75" customHeight="1" x14ac:dyDescent="0.35">
      <c r="A214" s="31"/>
      <c r="B214" s="89"/>
      <c r="C214" s="88"/>
      <c r="D214" s="94"/>
      <c r="E214" s="93"/>
      <c r="F214" s="31"/>
      <c r="G214" s="31"/>
      <c r="H214" s="31"/>
      <c r="I214" s="31"/>
      <c r="J214" s="31"/>
      <c r="K214" s="31"/>
      <c r="L214" s="31"/>
      <c r="N214" s="31"/>
      <c r="O214" s="31"/>
      <c r="P214" s="31"/>
      <c r="Q214" s="31"/>
      <c r="R214" s="31"/>
      <c r="S214" s="31"/>
    </row>
    <row r="215" spans="1:19" ht="12.75" customHeight="1" x14ac:dyDescent="0.35">
      <c r="A215" s="31"/>
      <c r="B215" s="89"/>
      <c r="C215" s="88"/>
      <c r="D215" s="94"/>
      <c r="E215" s="93"/>
      <c r="F215" s="31"/>
      <c r="G215" s="31"/>
      <c r="H215" s="31"/>
      <c r="I215" s="31"/>
      <c r="J215" s="31"/>
      <c r="K215" s="31"/>
      <c r="L215" s="31"/>
      <c r="N215" s="31"/>
      <c r="O215" s="31"/>
      <c r="P215" s="31"/>
      <c r="Q215" s="31"/>
      <c r="R215" s="31"/>
      <c r="S215" s="31"/>
    </row>
    <row r="216" spans="1:19" ht="12.75" customHeight="1" x14ac:dyDescent="0.35">
      <c r="A216" s="31"/>
      <c r="B216" s="89"/>
      <c r="C216" s="88"/>
      <c r="D216" s="94"/>
      <c r="E216" s="93"/>
      <c r="F216" s="31"/>
      <c r="G216" s="31"/>
      <c r="H216" s="31"/>
      <c r="I216" s="31"/>
      <c r="J216" s="31"/>
      <c r="K216" s="31"/>
      <c r="L216" s="31"/>
      <c r="N216" s="31"/>
      <c r="O216" s="31"/>
      <c r="P216" s="31"/>
      <c r="Q216" s="31"/>
      <c r="R216" s="31"/>
      <c r="S216" s="31"/>
    </row>
    <row r="217" spans="1:19" ht="12.75" customHeight="1" x14ac:dyDescent="0.35">
      <c r="A217" s="31"/>
      <c r="B217" s="89"/>
      <c r="C217" s="88"/>
      <c r="D217" s="94"/>
      <c r="E217" s="93"/>
      <c r="F217" s="31"/>
      <c r="G217" s="31"/>
      <c r="H217" s="31"/>
      <c r="I217" s="31"/>
      <c r="J217" s="31"/>
      <c r="K217" s="31"/>
      <c r="L217" s="31"/>
      <c r="N217" s="31"/>
      <c r="O217" s="31"/>
      <c r="P217" s="31"/>
      <c r="Q217" s="31"/>
      <c r="R217" s="31"/>
      <c r="S217" s="31"/>
    </row>
    <row r="218" spans="1:19" ht="12.75" customHeight="1" x14ac:dyDescent="0.35">
      <c r="A218" s="31"/>
      <c r="B218" s="89"/>
      <c r="C218" s="88"/>
      <c r="D218" s="94"/>
      <c r="E218" s="93"/>
      <c r="F218" s="31"/>
      <c r="G218" s="31"/>
      <c r="H218" s="31"/>
      <c r="I218" s="31"/>
      <c r="J218" s="31"/>
      <c r="K218" s="31"/>
      <c r="L218" s="31"/>
      <c r="N218" s="31"/>
      <c r="O218" s="31"/>
      <c r="P218" s="31"/>
      <c r="Q218" s="31"/>
      <c r="R218" s="31"/>
      <c r="S218" s="31"/>
    </row>
    <row r="219" spans="1:19" ht="12.75" customHeight="1" x14ac:dyDescent="0.35">
      <c r="A219" s="31"/>
      <c r="B219" s="89"/>
      <c r="C219" s="88"/>
      <c r="D219" s="94"/>
      <c r="E219" s="93"/>
      <c r="F219" s="31"/>
      <c r="G219" s="31"/>
      <c r="H219" s="31"/>
      <c r="I219" s="31"/>
      <c r="J219" s="31"/>
      <c r="K219" s="31"/>
      <c r="L219" s="31"/>
      <c r="N219" s="31"/>
      <c r="O219" s="31"/>
      <c r="P219" s="31"/>
      <c r="Q219" s="31"/>
      <c r="R219" s="31"/>
      <c r="S219" s="31"/>
    </row>
    <row r="220" spans="1:19" ht="12.75" customHeight="1" x14ac:dyDescent="0.35">
      <c r="A220" s="31"/>
      <c r="B220" s="89"/>
      <c r="C220" s="88"/>
      <c r="D220" s="94"/>
      <c r="E220" s="93"/>
      <c r="F220" s="31"/>
      <c r="G220" s="31"/>
      <c r="H220" s="31"/>
      <c r="I220" s="31"/>
      <c r="J220" s="31"/>
      <c r="K220" s="31"/>
      <c r="L220" s="31"/>
      <c r="N220" s="31"/>
      <c r="O220" s="31"/>
      <c r="P220" s="31"/>
      <c r="Q220" s="31"/>
      <c r="R220" s="31"/>
      <c r="S220" s="31"/>
    </row>
    <row r="221" spans="1:19" ht="12.75" customHeight="1" x14ac:dyDescent="0.35">
      <c r="A221" s="31"/>
      <c r="B221" s="31"/>
      <c r="C221" s="31"/>
      <c r="D221" s="31"/>
      <c r="E221" s="31"/>
      <c r="F221" s="31"/>
      <c r="G221" s="31"/>
      <c r="H221" s="31"/>
      <c r="I221" s="31"/>
      <c r="J221" s="31"/>
      <c r="K221" s="31"/>
      <c r="L221" s="31"/>
      <c r="N221" s="31"/>
      <c r="O221" s="31"/>
      <c r="P221" s="31"/>
      <c r="Q221" s="31"/>
      <c r="R221" s="31"/>
      <c r="S221" s="31"/>
    </row>
    <row r="222" spans="1:19" ht="12.75" customHeight="1" x14ac:dyDescent="0.35">
      <c r="A222" s="31"/>
      <c r="B222" s="31"/>
      <c r="C222" s="31"/>
      <c r="D222" s="31"/>
      <c r="E222" s="31"/>
      <c r="F222" s="31"/>
      <c r="G222" s="31"/>
      <c r="H222" s="31"/>
      <c r="I222" s="31"/>
      <c r="J222" s="31"/>
      <c r="K222" s="31"/>
      <c r="L222" s="31"/>
      <c r="N222" s="31"/>
      <c r="O222" s="31"/>
      <c r="P222" s="31"/>
      <c r="Q222" s="31"/>
      <c r="R222" s="31"/>
      <c r="S222" s="31"/>
    </row>
    <row r="223" spans="1:19" ht="12.75" customHeight="1" x14ac:dyDescent="0.35">
      <c r="A223" s="31"/>
      <c r="B223" s="31"/>
      <c r="C223" s="31"/>
      <c r="D223" s="31"/>
      <c r="E223" s="31"/>
      <c r="F223" s="31"/>
      <c r="G223" s="31"/>
      <c r="H223" s="31"/>
      <c r="I223" s="31"/>
      <c r="J223" s="31"/>
      <c r="K223" s="31"/>
      <c r="L223" s="31"/>
      <c r="N223" s="31"/>
      <c r="O223" s="31"/>
      <c r="P223" s="31"/>
      <c r="Q223" s="31"/>
      <c r="R223" s="31"/>
      <c r="S223" s="31"/>
    </row>
    <row r="224" spans="1:19" ht="12.75" customHeight="1" x14ac:dyDescent="0.35">
      <c r="A224" s="31"/>
      <c r="B224" s="31"/>
      <c r="C224" s="31"/>
      <c r="D224" s="31"/>
      <c r="E224" s="31"/>
      <c r="F224" s="31"/>
      <c r="G224" s="31"/>
      <c r="H224" s="31"/>
      <c r="I224" s="31"/>
      <c r="J224" s="31"/>
      <c r="K224" s="31"/>
      <c r="L224" s="31"/>
      <c r="N224" s="31"/>
      <c r="O224" s="31"/>
      <c r="P224" s="31"/>
      <c r="Q224" s="31"/>
      <c r="R224" s="31"/>
      <c r="S224" s="31"/>
    </row>
    <row r="225" spans="1:19" ht="12.75" customHeight="1" x14ac:dyDescent="0.35">
      <c r="A225" s="31"/>
      <c r="B225" s="31"/>
      <c r="C225" s="31"/>
      <c r="D225" s="31"/>
      <c r="E225" s="31"/>
      <c r="F225" s="31"/>
      <c r="G225" s="31"/>
      <c r="H225" s="31"/>
      <c r="I225" s="31"/>
      <c r="J225" s="31"/>
      <c r="K225" s="31"/>
      <c r="L225" s="31"/>
      <c r="N225" s="31"/>
      <c r="O225" s="31"/>
      <c r="P225" s="31"/>
      <c r="Q225" s="31"/>
      <c r="R225" s="31"/>
      <c r="S225" s="31"/>
    </row>
    <row r="226" spans="1:19" ht="12.75" customHeight="1" x14ac:dyDescent="0.35">
      <c r="A226" s="31"/>
      <c r="B226" s="31"/>
      <c r="C226" s="31"/>
      <c r="D226" s="31"/>
      <c r="E226" s="31"/>
      <c r="F226" s="31"/>
      <c r="G226" s="31"/>
      <c r="H226" s="31"/>
      <c r="I226" s="31"/>
      <c r="J226" s="31"/>
      <c r="K226" s="31"/>
      <c r="L226" s="31"/>
      <c r="N226" s="31"/>
      <c r="O226" s="31"/>
      <c r="P226" s="31"/>
      <c r="Q226" s="31"/>
      <c r="R226" s="31"/>
      <c r="S226" s="31"/>
    </row>
    <row r="227" spans="1:19" ht="12.75" customHeight="1" x14ac:dyDescent="0.35">
      <c r="A227" s="31"/>
      <c r="B227" s="31"/>
      <c r="C227" s="31"/>
      <c r="D227" s="31"/>
      <c r="E227" s="31"/>
      <c r="F227" s="31"/>
      <c r="G227" s="31"/>
      <c r="H227" s="31"/>
      <c r="I227" s="31"/>
      <c r="J227" s="31"/>
      <c r="K227" s="31"/>
      <c r="L227" s="31"/>
      <c r="N227" s="31"/>
      <c r="O227" s="31"/>
      <c r="P227" s="31"/>
      <c r="Q227" s="31"/>
      <c r="R227" s="31"/>
      <c r="S227" s="31"/>
    </row>
    <row r="228" spans="1:19" ht="12.75" customHeight="1" x14ac:dyDescent="0.35">
      <c r="A228" s="31"/>
      <c r="B228" s="31"/>
      <c r="C228" s="31"/>
      <c r="D228" s="31"/>
      <c r="E228" s="31"/>
      <c r="F228" s="31"/>
      <c r="G228" s="31"/>
      <c r="H228" s="31"/>
      <c r="I228" s="31"/>
      <c r="J228" s="31"/>
      <c r="K228" s="31"/>
      <c r="L228" s="31"/>
      <c r="N228" s="31"/>
      <c r="O228" s="31"/>
      <c r="P228" s="31"/>
      <c r="Q228" s="31"/>
      <c r="R228" s="31"/>
      <c r="S228" s="31"/>
    </row>
    <row r="229" spans="1:19" ht="12.75" customHeight="1" x14ac:dyDescent="0.35">
      <c r="A229" s="31"/>
      <c r="B229" s="31"/>
      <c r="C229" s="31"/>
      <c r="D229" s="31"/>
      <c r="E229" s="31"/>
      <c r="F229" s="31"/>
      <c r="G229" s="31"/>
      <c r="H229" s="31"/>
      <c r="I229" s="31"/>
      <c r="J229" s="31"/>
      <c r="K229" s="31"/>
      <c r="L229" s="31"/>
      <c r="N229" s="31"/>
      <c r="O229" s="31"/>
      <c r="P229" s="31"/>
      <c r="Q229" s="31"/>
      <c r="R229" s="31"/>
      <c r="S229" s="31"/>
    </row>
    <row r="230" spans="1:19" ht="12.75" customHeight="1" x14ac:dyDescent="0.35">
      <c r="A230" s="31"/>
      <c r="B230" s="31"/>
      <c r="C230" s="31"/>
      <c r="D230" s="31"/>
      <c r="E230" s="31"/>
      <c r="F230" s="31"/>
      <c r="G230" s="31"/>
      <c r="H230" s="31"/>
      <c r="I230" s="31"/>
      <c r="J230" s="31"/>
      <c r="K230" s="31"/>
      <c r="L230" s="31"/>
      <c r="N230" s="31"/>
      <c r="O230" s="31"/>
      <c r="P230" s="31"/>
      <c r="Q230" s="31"/>
      <c r="R230" s="31"/>
      <c r="S230" s="31"/>
    </row>
    <row r="231" spans="1:19" ht="12.75" customHeight="1" x14ac:dyDescent="0.35">
      <c r="A231" s="31"/>
      <c r="B231" s="31"/>
      <c r="C231" s="31"/>
      <c r="D231" s="31"/>
      <c r="E231" s="31"/>
      <c r="F231" s="31"/>
      <c r="G231" s="31"/>
      <c r="H231" s="31"/>
      <c r="I231" s="31"/>
      <c r="J231" s="31"/>
      <c r="K231" s="31"/>
      <c r="L231" s="31"/>
      <c r="N231" s="31"/>
      <c r="O231" s="31"/>
      <c r="P231" s="31"/>
      <c r="Q231" s="31"/>
      <c r="R231" s="31"/>
      <c r="S231" s="31"/>
    </row>
    <row r="232" spans="1:19" ht="12.75" customHeight="1" x14ac:dyDescent="0.35">
      <c r="A232" s="31"/>
      <c r="B232" s="31"/>
      <c r="C232" s="31"/>
      <c r="D232" s="31"/>
      <c r="E232" s="31"/>
      <c r="F232" s="31"/>
      <c r="G232" s="31"/>
      <c r="H232" s="31"/>
      <c r="I232" s="31"/>
      <c r="J232" s="31"/>
      <c r="K232" s="31"/>
      <c r="L232" s="31"/>
      <c r="N232" s="31"/>
      <c r="O232" s="31"/>
      <c r="P232" s="31"/>
      <c r="Q232" s="31"/>
      <c r="R232" s="31"/>
      <c r="S232" s="31"/>
    </row>
    <row r="233" spans="1:19" ht="12.75" customHeight="1" x14ac:dyDescent="0.35">
      <c r="A233" s="31"/>
      <c r="B233" s="31"/>
      <c r="C233" s="31"/>
      <c r="D233" s="31"/>
      <c r="E233" s="31"/>
      <c r="F233" s="31"/>
      <c r="G233" s="31"/>
      <c r="H233" s="31"/>
      <c r="I233" s="31"/>
      <c r="J233" s="31"/>
      <c r="K233" s="31"/>
      <c r="L233" s="31"/>
      <c r="N233" s="31"/>
      <c r="O233" s="31"/>
      <c r="P233" s="31"/>
      <c r="Q233" s="31"/>
      <c r="R233" s="31"/>
      <c r="S233" s="31"/>
    </row>
    <row r="234" spans="1:19" ht="12.75" customHeight="1" x14ac:dyDescent="0.35">
      <c r="A234" s="31"/>
      <c r="B234" s="31"/>
      <c r="C234" s="31"/>
      <c r="D234" s="31"/>
      <c r="E234" s="31"/>
      <c r="F234" s="31"/>
      <c r="G234" s="31"/>
      <c r="H234" s="31"/>
      <c r="I234" s="31"/>
      <c r="J234" s="31"/>
      <c r="K234" s="31"/>
      <c r="L234" s="31"/>
      <c r="N234" s="31"/>
      <c r="O234" s="31"/>
      <c r="P234" s="31"/>
      <c r="Q234" s="31"/>
      <c r="R234" s="31"/>
      <c r="S234" s="31"/>
    </row>
    <row r="235" spans="1:19" ht="12.75" customHeight="1" x14ac:dyDescent="0.35">
      <c r="A235" s="31"/>
      <c r="B235" s="31"/>
      <c r="C235" s="31"/>
      <c r="D235" s="31"/>
      <c r="E235" s="31"/>
      <c r="F235" s="31"/>
      <c r="G235" s="31"/>
      <c r="H235" s="31"/>
      <c r="I235" s="31"/>
      <c r="J235" s="31"/>
      <c r="K235" s="31"/>
      <c r="L235" s="31"/>
      <c r="N235" s="31"/>
      <c r="O235" s="31"/>
      <c r="P235" s="31"/>
      <c r="Q235" s="31"/>
      <c r="R235" s="31"/>
      <c r="S235" s="31"/>
    </row>
    <row r="236" spans="1:19" ht="12.75" customHeight="1" x14ac:dyDescent="0.35">
      <c r="A236" s="31"/>
      <c r="B236" s="31"/>
      <c r="C236" s="31"/>
      <c r="D236" s="31"/>
      <c r="E236" s="31"/>
      <c r="F236" s="31"/>
      <c r="G236" s="31"/>
      <c r="H236" s="31"/>
      <c r="I236" s="31"/>
      <c r="J236" s="31"/>
      <c r="K236" s="31"/>
      <c r="L236" s="31"/>
      <c r="N236" s="31"/>
      <c r="O236" s="31"/>
      <c r="P236" s="31"/>
      <c r="Q236" s="31"/>
      <c r="R236" s="31"/>
      <c r="S236" s="31"/>
    </row>
    <row r="237" spans="1:19" ht="12.75" customHeight="1" x14ac:dyDescent="0.35">
      <c r="A237" s="31"/>
      <c r="B237" s="31"/>
      <c r="C237" s="31"/>
      <c r="D237" s="31"/>
      <c r="E237" s="31"/>
      <c r="F237" s="31"/>
      <c r="G237" s="31"/>
      <c r="H237" s="31"/>
      <c r="I237" s="31"/>
      <c r="J237" s="31"/>
      <c r="K237" s="31"/>
      <c r="L237" s="31"/>
      <c r="N237" s="31"/>
      <c r="O237" s="31"/>
      <c r="P237" s="31"/>
      <c r="Q237" s="31"/>
      <c r="R237" s="31"/>
      <c r="S237" s="31"/>
    </row>
    <row r="238" spans="1:19" ht="12.75" customHeight="1" x14ac:dyDescent="0.35">
      <c r="A238" s="31"/>
      <c r="B238" s="31"/>
      <c r="C238" s="31"/>
      <c r="D238" s="31"/>
      <c r="E238" s="31"/>
      <c r="F238" s="31"/>
      <c r="G238" s="31"/>
      <c r="H238" s="31"/>
      <c r="I238" s="31"/>
      <c r="J238" s="31"/>
      <c r="K238" s="31"/>
      <c r="L238" s="31"/>
      <c r="N238" s="31"/>
      <c r="O238" s="31"/>
      <c r="P238" s="31"/>
      <c r="Q238" s="31"/>
      <c r="R238" s="31"/>
      <c r="S238" s="31"/>
    </row>
    <row r="239" spans="1:19" ht="12.75" customHeight="1" x14ac:dyDescent="0.35">
      <c r="A239" s="31"/>
      <c r="B239" s="31"/>
      <c r="C239" s="31"/>
      <c r="D239" s="31"/>
      <c r="E239" s="31"/>
      <c r="F239" s="31"/>
      <c r="G239" s="31"/>
      <c r="H239" s="31"/>
      <c r="I239" s="31"/>
      <c r="J239" s="31"/>
      <c r="K239" s="31"/>
      <c r="L239" s="31"/>
      <c r="N239" s="31"/>
      <c r="O239" s="31"/>
      <c r="P239" s="31"/>
      <c r="Q239" s="31"/>
      <c r="R239" s="31"/>
      <c r="S239" s="31"/>
    </row>
    <row r="240" spans="1:19" ht="12.75" customHeight="1" x14ac:dyDescent="0.35">
      <c r="A240" s="31"/>
      <c r="B240" s="31"/>
      <c r="C240" s="31"/>
      <c r="D240" s="31"/>
      <c r="E240" s="31"/>
      <c r="F240" s="31"/>
      <c r="G240" s="31"/>
      <c r="H240" s="31"/>
      <c r="I240" s="31"/>
      <c r="J240" s="31"/>
      <c r="K240" s="31"/>
      <c r="L240" s="31"/>
      <c r="N240" s="31"/>
      <c r="O240" s="31"/>
      <c r="P240" s="31"/>
      <c r="Q240" s="31"/>
      <c r="R240" s="31"/>
      <c r="S240" s="31"/>
    </row>
    <row r="241" spans="1:19" ht="12.75" customHeight="1" x14ac:dyDescent="0.35">
      <c r="A241" s="31"/>
      <c r="B241" s="31"/>
      <c r="C241" s="31"/>
      <c r="D241" s="31"/>
      <c r="E241" s="31"/>
      <c r="F241" s="31"/>
      <c r="G241" s="31"/>
      <c r="H241" s="31"/>
      <c r="I241" s="31"/>
      <c r="J241" s="31"/>
      <c r="K241" s="31"/>
      <c r="L241" s="31"/>
      <c r="N241" s="31"/>
      <c r="O241" s="31"/>
      <c r="P241" s="31"/>
      <c r="Q241" s="31"/>
      <c r="R241" s="31"/>
      <c r="S241" s="31"/>
    </row>
    <row r="242" spans="1:19" ht="12.75" customHeight="1" x14ac:dyDescent="0.35">
      <c r="A242" s="31"/>
      <c r="B242" s="31"/>
      <c r="C242" s="31"/>
      <c r="D242" s="31"/>
      <c r="E242" s="31"/>
      <c r="F242" s="31"/>
      <c r="G242" s="31"/>
      <c r="H242" s="31"/>
      <c r="I242" s="31"/>
      <c r="J242" s="31"/>
      <c r="K242" s="31"/>
      <c r="L242" s="31"/>
      <c r="N242" s="31"/>
      <c r="O242" s="31"/>
      <c r="P242" s="31"/>
      <c r="Q242" s="31"/>
      <c r="R242" s="31"/>
      <c r="S242" s="31"/>
    </row>
    <row r="243" spans="1:19" ht="12.75" customHeight="1" x14ac:dyDescent="0.35">
      <c r="A243" s="31"/>
      <c r="B243" s="31"/>
      <c r="C243" s="31"/>
      <c r="D243" s="31"/>
      <c r="E243" s="31"/>
      <c r="F243" s="31"/>
      <c r="G243" s="31"/>
      <c r="H243" s="31"/>
      <c r="I243" s="31"/>
      <c r="J243" s="31"/>
      <c r="K243" s="31"/>
      <c r="L243" s="31"/>
      <c r="N243" s="31"/>
      <c r="O243" s="31"/>
      <c r="P243" s="31"/>
      <c r="Q243" s="31"/>
      <c r="R243" s="31"/>
      <c r="S243" s="31"/>
    </row>
    <row r="244" spans="1:19" ht="12.75" customHeight="1" x14ac:dyDescent="0.35">
      <c r="A244" s="31"/>
      <c r="B244" s="31"/>
      <c r="C244" s="31"/>
      <c r="D244" s="31"/>
      <c r="E244" s="31"/>
      <c r="F244" s="31"/>
      <c r="G244" s="31"/>
      <c r="H244" s="31"/>
      <c r="I244" s="31"/>
      <c r="J244" s="31"/>
      <c r="K244" s="31"/>
      <c r="L244" s="31"/>
      <c r="N244" s="31"/>
      <c r="O244" s="31"/>
      <c r="P244" s="31"/>
      <c r="Q244" s="31"/>
      <c r="R244" s="31"/>
      <c r="S244" s="31"/>
    </row>
    <row r="245" spans="1:19" ht="12.75" customHeight="1" x14ac:dyDescent="0.35">
      <c r="A245" s="31"/>
      <c r="B245" s="31"/>
      <c r="C245" s="31"/>
      <c r="D245" s="31"/>
      <c r="E245" s="31"/>
      <c r="F245" s="31"/>
      <c r="G245" s="31"/>
      <c r="H245" s="31"/>
      <c r="I245" s="31"/>
      <c r="J245" s="31"/>
      <c r="K245" s="31"/>
      <c r="L245" s="31"/>
      <c r="N245" s="31"/>
      <c r="O245" s="31"/>
      <c r="P245" s="31"/>
      <c r="Q245" s="31"/>
      <c r="R245" s="31"/>
      <c r="S245" s="31"/>
    </row>
    <row r="246" spans="1:19" ht="12.75" customHeight="1" x14ac:dyDescent="0.35">
      <c r="A246" s="31"/>
      <c r="B246" s="31"/>
      <c r="C246" s="31"/>
      <c r="D246" s="31"/>
      <c r="E246" s="31"/>
      <c r="F246" s="31"/>
      <c r="G246" s="31"/>
      <c r="H246" s="31"/>
      <c r="I246" s="31"/>
      <c r="J246" s="31"/>
      <c r="K246" s="31"/>
      <c r="L246" s="31"/>
      <c r="N246" s="31"/>
      <c r="O246" s="31"/>
      <c r="P246" s="31"/>
      <c r="Q246" s="31"/>
      <c r="R246" s="31"/>
      <c r="S246" s="31"/>
    </row>
    <row r="247" spans="1:19" ht="12.75" customHeight="1" x14ac:dyDescent="0.35">
      <c r="A247" s="31"/>
      <c r="B247" s="31"/>
      <c r="C247" s="31"/>
      <c r="D247" s="31"/>
      <c r="E247" s="31"/>
      <c r="F247" s="31"/>
      <c r="G247" s="31"/>
      <c r="H247" s="31"/>
      <c r="I247" s="31"/>
      <c r="J247" s="31"/>
      <c r="K247" s="31"/>
      <c r="L247" s="31"/>
      <c r="N247" s="31"/>
      <c r="O247" s="31"/>
      <c r="P247" s="31"/>
      <c r="Q247" s="31"/>
      <c r="R247" s="31"/>
      <c r="S247" s="31"/>
    </row>
    <row r="248" spans="1:19" ht="12.75" customHeight="1" x14ac:dyDescent="0.35">
      <c r="A248" s="31"/>
      <c r="B248" s="31"/>
      <c r="C248" s="31"/>
      <c r="D248" s="31"/>
      <c r="E248" s="31"/>
      <c r="F248" s="31"/>
      <c r="G248" s="31"/>
      <c r="H248" s="31"/>
      <c r="I248" s="31"/>
      <c r="J248" s="31"/>
      <c r="K248" s="31"/>
      <c r="L248" s="31"/>
      <c r="N248" s="31"/>
      <c r="O248" s="31"/>
      <c r="P248" s="31"/>
      <c r="Q248" s="31"/>
      <c r="R248" s="31"/>
      <c r="S248" s="31"/>
    </row>
    <row r="249" spans="1:19" ht="12.75" customHeight="1" x14ac:dyDescent="0.35">
      <c r="A249" s="31"/>
      <c r="B249" s="31"/>
      <c r="C249" s="31"/>
      <c r="D249" s="31"/>
      <c r="E249" s="31"/>
      <c r="F249" s="31"/>
      <c r="G249" s="31"/>
      <c r="H249" s="31"/>
      <c r="I249" s="31"/>
      <c r="J249" s="31"/>
      <c r="K249" s="31"/>
      <c r="L249" s="31"/>
      <c r="N249" s="31"/>
      <c r="O249" s="31"/>
      <c r="P249" s="31"/>
      <c r="Q249" s="31"/>
      <c r="R249" s="31"/>
      <c r="S249" s="31"/>
    </row>
    <row r="250" spans="1:19" ht="12.75" customHeight="1" x14ac:dyDescent="0.35">
      <c r="A250" s="31"/>
      <c r="B250" s="31"/>
      <c r="C250" s="31"/>
      <c r="D250" s="31"/>
      <c r="E250" s="31"/>
      <c r="F250" s="31"/>
      <c r="G250" s="31"/>
      <c r="H250" s="31"/>
      <c r="I250" s="31"/>
      <c r="J250" s="31"/>
      <c r="K250" s="31"/>
      <c r="L250" s="31"/>
      <c r="N250" s="31"/>
      <c r="O250" s="31"/>
      <c r="P250" s="31"/>
      <c r="Q250" s="31"/>
      <c r="R250" s="31"/>
      <c r="S250" s="31"/>
    </row>
    <row r="251" spans="1:19" ht="12.75" customHeight="1" x14ac:dyDescent="0.35">
      <c r="A251" s="31"/>
      <c r="B251" s="31"/>
      <c r="C251" s="31"/>
      <c r="D251" s="31"/>
      <c r="E251" s="31"/>
      <c r="F251" s="31"/>
      <c r="G251" s="31"/>
      <c r="H251" s="31"/>
      <c r="I251" s="31"/>
      <c r="J251" s="31"/>
      <c r="K251" s="31"/>
      <c r="L251" s="31"/>
      <c r="N251" s="31"/>
      <c r="O251" s="31"/>
      <c r="P251" s="31"/>
      <c r="Q251" s="31"/>
      <c r="R251" s="31"/>
      <c r="S251" s="31"/>
    </row>
    <row r="252" spans="1:19" ht="12.75" customHeight="1" x14ac:dyDescent="0.35">
      <c r="A252" s="31"/>
      <c r="B252" s="31"/>
      <c r="C252" s="31"/>
      <c r="D252" s="31"/>
      <c r="E252" s="31"/>
      <c r="F252" s="31"/>
      <c r="G252" s="31"/>
      <c r="H252" s="31"/>
      <c r="I252" s="31"/>
      <c r="J252" s="31"/>
      <c r="K252" s="31"/>
      <c r="L252" s="31"/>
      <c r="N252" s="31"/>
      <c r="O252" s="31"/>
      <c r="P252" s="31"/>
      <c r="Q252" s="31"/>
      <c r="R252" s="31"/>
      <c r="S252" s="31"/>
    </row>
    <row r="253" spans="1:19" ht="12.75" customHeight="1" x14ac:dyDescent="0.35">
      <c r="A253" s="31"/>
      <c r="B253" s="31"/>
      <c r="C253" s="31"/>
      <c r="D253" s="31"/>
      <c r="E253" s="31"/>
      <c r="F253" s="31"/>
      <c r="G253" s="31"/>
      <c r="H253" s="31"/>
      <c r="I253" s="31"/>
      <c r="J253" s="31"/>
      <c r="K253" s="31"/>
      <c r="L253" s="31"/>
      <c r="N253" s="31"/>
      <c r="O253" s="31"/>
      <c r="P253" s="31"/>
      <c r="Q253" s="31"/>
      <c r="R253" s="31"/>
      <c r="S253" s="31"/>
    </row>
    <row r="254" spans="1:19" ht="12.75" customHeight="1" x14ac:dyDescent="0.35">
      <c r="A254" s="31"/>
      <c r="B254" s="31"/>
      <c r="C254" s="31"/>
      <c r="D254" s="31"/>
      <c r="E254" s="31"/>
      <c r="F254" s="31"/>
      <c r="G254" s="31"/>
      <c r="H254" s="31"/>
      <c r="I254" s="31"/>
      <c r="J254" s="31"/>
      <c r="K254" s="31"/>
      <c r="L254" s="31"/>
      <c r="N254" s="31"/>
      <c r="O254" s="31"/>
      <c r="P254" s="31"/>
      <c r="Q254" s="31"/>
      <c r="R254" s="31"/>
      <c r="S254" s="31"/>
    </row>
    <row r="255" spans="1:19" ht="12.75" customHeight="1" x14ac:dyDescent="0.35">
      <c r="A255" s="31"/>
      <c r="B255" s="31"/>
      <c r="C255" s="31"/>
      <c r="D255" s="31"/>
      <c r="E255" s="31"/>
      <c r="F255" s="31"/>
      <c r="G255" s="31"/>
      <c r="H255" s="31"/>
      <c r="I255" s="31"/>
      <c r="J255" s="31"/>
      <c r="K255" s="31"/>
      <c r="L255" s="31"/>
      <c r="N255" s="31"/>
      <c r="O255" s="31"/>
      <c r="P255" s="31"/>
      <c r="Q255" s="31"/>
      <c r="R255" s="31"/>
      <c r="S255" s="31"/>
    </row>
    <row r="256" spans="1:19" ht="12.75" customHeight="1" x14ac:dyDescent="0.35">
      <c r="A256" s="31"/>
      <c r="B256" s="31"/>
      <c r="C256" s="31"/>
      <c r="D256" s="31"/>
      <c r="E256" s="31"/>
      <c r="F256" s="31"/>
      <c r="G256" s="31"/>
      <c r="H256" s="31"/>
      <c r="I256" s="31"/>
      <c r="J256" s="31"/>
      <c r="K256" s="31"/>
      <c r="L256" s="31"/>
      <c r="N256" s="31"/>
      <c r="O256" s="31"/>
      <c r="P256" s="31"/>
      <c r="Q256" s="31"/>
      <c r="R256" s="31"/>
      <c r="S256" s="31"/>
    </row>
    <row r="257" spans="1:19" ht="12.75" customHeight="1" x14ac:dyDescent="0.35">
      <c r="A257" s="31"/>
      <c r="B257" s="31"/>
      <c r="C257" s="31"/>
      <c r="D257" s="31"/>
      <c r="E257" s="31"/>
      <c r="F257" s="31"/>
      <c r="G257" s="31"/>
      <c r="H257" s="31"/>
      <c r="I257" s="31"/>
      <c r="J257" s="31"/>
      <c r="K257" s="31"/>
      <c r="L257" s="31"/>
      <c r="N257" s="31"/>
      <c r="O257" s="31"/>
      <c r="P257" s="31"/>
      <c r="Q257" s="31"/>
      <c r="R257" s="31"/>
      <c r="S257" s="31"/>
    </row>
    <row r="258" spans="1:19" ht="12.75" customHeight="1" x14ac:dyDescent="0.35">
      <c r="A258" s="31"/>
      <c r="B258" s="31"/>
      <c r="C258" s="31"/>
      <c r="D258" s="31"/>
      <c r="E258" s="31"/>
      <c r="F258" s="31"/>
      <c r="G258" s="31"/>
      <c r="H258" s="31"/>
      <c r="I258" s="31"/>
      <c r="J258" s="31"/>
      <c r="K258" s="31"/>
      <c r="L258" s="31"/>
      <c r="N258" s="31"/>
      <c r="O258" s="31"/>
      <c r="P258" s="31"/>
      <c r="Q258" s="31"/>
      <c r="R258" s="31"/>
      <c r="S258" s="31"/>
    </row>
    <row r="259" spans="1:19" ht="12.75" customHeight="1" x14ac:dyDescent="0.35">
      <c r="A259" s="31"/>
      <c r="B259" s="31"/>
      <c r="C259" s="31"/>
      <c r="D259" s="31"/>
      <c r="E259" s="31"/>
      <c r="F259" s="31"/>
      <c r="G259" s="31"/>
      <c r="H259" s="31"/>
      <c r="I259" s="31"/>
      <c r="J259" s="31"/>
      <c r="K259" s="31"/>
      <c r="L259" s="31"/>
      <c r="N259" s="31"/>
      <c r="O259" s="31"/>
      <c r="P259" s="31"/>
      <c r="Q259" s="31"/>
      <c r="R259" s="31"/>
      <c r="S259" s="31"/>
    </row>
    <row r="260" spans="1:19" ht="12.75" customHeight="1" x14ac:dyDescent="0.35">
      <c r="A260" s="31"/>
      <c r="B260" s="31"/>
      <c r="C260" s="31"/>
      <c r="D260" s="31"/>
      <c r="E260" s="31"/>
      <c r="F260" s="31"/>
      <c r="G260" s="31"/>
      <c r="H260" s="31"/>
      <c r="I260" s="31"/>
      <c r="J260" s="31"/>
      <c r="K260" s="31"/>
      <c r="L260" s="31"/>
      <c r="N260" s="31"/>
      <c r="O260" s="31"/>
      <c r="P260" s="31"/>
      <c r="Q260" s="31"/>
      <c r="R260" s="31"/>
      <c r="S260" s="31"/>
    </row>
    <row r="261" spans="1:19" ht="12.75" customHeight="1" x14ac:dyDescent="0.35">
      <c r="A261" s="31"/>
      <c r="B261" s="31"/>
      <c r="C261" s="31"/>
      <c r="D261" s="31"/>
      <c r="E261" s="31"/>
      <c r="F261" s="31"/>
      <c r="G261" s="31"/>
      <c r="H261" s="31"/>
      <c r="I261" s="31"/>
      <c r="J261" s="31"/>
      <c r="K261" s="31"/>
      <c r="L261" s="31"/>
      <c r="N261" s="31"/>
      <c r="O261" s="31"/>
      <c r="P261" s="31"/>
      <c r="Q261" s="31"/>
      <c r="R261" s="31"/>
      <c r="S261" s="31"/>
    </row>
    <row r="262" spans="1:19" ht="12.75" customHeight="1" x14ac:dyDescent="0.35">
      <c r="A262" s="31"/>
      <c r="B262" s="31"/>
      <c r="C262" s="31"/>
      <c r="D262" s="31"/>
      <c r="E262" s="31"/>
      <c r="F262" s="31"/>
      <c r="G262" s="31"/>
      <c r="H262" s="31"/>
      <c r="I262" s="31"/>
      <c r="J262" s="31"/>
      <c r="K262" s="31"/>
      <c r="L262" s="31"/>
      <c r="N262" s="31"/>
      <c r="O262" s="31"/>
      <c r="P262" s="31"/>
      <c r="Q262" s="31"/>
      <c r="R262" s="31"/>
      <c r="S262" s="31"/>
    </row>
    <row r="263" spans="1:19" ht="12.75" customHeight="1" x14ac:dyDescent="0.35">
      <c r="A263" s="31"/>
      <c r="B263" s="31"/>
      <c r="C263" s="31"/>
      <c r="D263" s="31"/>
      <c r="E263" s="31"/>
      <c r="F263" s="31"/>
      <c r="G263" s="31"/>
      <c r="H263" s="31"/>
      <c r="I263" s="31"/>
      <c r="J263" s="31"/>
      <c r="K263" s="31"/>
      <c r="L263" s="31"/>
      <c r="N263" s="31"/>
      <c r="O263" s="31"/>
      <c r="P263" s="31"/>
      <c r="Q263" s="31"/>
      <c r="R263" s="31"/>
      <c r="S263" s="31"/>
    </row>
    <row r="264" spans="1:19" ht="12.75" customHeight="1" x14ac:dyDescent="0.35">
      <c r="A264" s="31"/>
      <c r="B264" s="31"/>
      <c r="C264" s="31"/>
      <c r="D264" s="31"/>
      <c r="E264" s="31"/>
      <c r="F264" s="31"/>
      <c r="G264" s="31"/>
      <c r="H264" s="31"/>
      <c r="I264" s="31"/>
      <c r="J264" s="31"/>
      <c r="K264" s="31"/>
      <c r="L264" s="31"/>
      <c r="N264" s="31"/>
      <c r="O264" s="31"/>
      <c r="P264" s="31"/>
      <c r="Q264" s="31"/>
      <c r="R264" s="31"/>
      <c r="S264" s="31"/>
    </row>
    <row r="265" spans="1:19" ht="12.75" customHeight="1" x14ac:dyDescent="0.35">
      <c r="A265" s="31"/>
      <c r="B265" s="31"/>
      <c r="C265" s="31"/>
      <c r="D265" s="31"/>
      <c r="E265" s="31"/>
      <c r="F265" s="31"/>
      <c r="G265" s="31"/>
      <c r="H265" s="31"/>
      <c r="I265" s="31"/>
      <c r="J265" s="31"/>
      <c r="K265" s="31"/>
      <c r="L265" s="31"/>
      <c r="N265" s="31"/>
      <c r="O265" s="31"/>
      <c r="P265" s="31"/>
      <c r="Q265" s="31"/>
      <c r="R265" s="31"/>
      <c r="S265" s="31"/>
    </row>
    <row r="266" spans="1:19" ht="12.75" customHeight="1" x14ac:dyDescent="0.35">
      <c r="A266" s="31"/>
      <c r="B266" s="31"/>
      <c r="C266" s="31"/>
      <c r="D266" s="31"/>
      <c r="E266" s="31"/>
      <c r="F266" s="31"/>
      <c r="G266" s="31"/>
      <c r="H266" s="31"/>
      <c r="I266" s="31"/>
      <c r="J266" s="31"/>
      <c r="K266" s="31"/>
      <c r="L266" s="31"/>
      <c r="N266" s="31"/>
      <c r="O266" s="31"/>
      <c r="P266" s="31"/>
      <c r="Q266" s="31"/>
      <c r="R266" s="31"/>
      <c r="S266" s="31"/>
    </row>
    <row r="267" spans="1:19" ht="12.75" customHeight="1" x14ac:dyDescent="0.35">
      <c r="A267" s="31"/>
      <c r="B267" s="31"/>
      <c r="C267" s="31"/>
      <c r="D267" s="31"/>
      <c r="E267" s="31"/>
      <c r="F267" s="31"/>
      <c r="G267" s="31"/>
      <c r="H267" s="31"/>
      <c r="I267" s="31"/>
      <c r="J267" s="31"/>
      <c r="K267" s="31"/>
      <c r="L267" s="31"/>
      <c r="N267" s="31"/>
      <c r="O267" s="31"/>
      <c r="P267" s="31"/>
      <c r="Q267" s="31"/>
      <c r="R267" s="31"/>
      <c r="S267" s="31"/>
    </row>
    <row r="268" spans="1:19" ht="12.75" customHeight="1" x14ac:dyDescent="0.35">
      <c r="A268" s="31"/>
      <c r="B268" s="31"/>
      <c r="C268" s="31"/>
      <c r="D268" s="31"/>
      <c r="E268" s="31"/>
      <c r="F268" s="31"/>
      <c r="G268" s="31"/>
      <c r="H268" s="31"/>
      <c r="I268" s="31"/>
      <c r="J268" s="31"/>
      <c r="K268" s="31"/>
      <c r="L268" s="31"/>
      <c r="N268" s="31"/>
      <c r="O268" s="31"/>
      <c r="P268" s="31"/>
      <c r="Q268" s="31"/>
      <c r="R268" s="31"/>
      <c r="S268" s="31"/>
    </row>
    <row r="269" spans="1:19" ht="12.75" customHeight="1" x14ac:dyDescent="0.35">
      <c r="A269" s="31"/>
      <c r="B269" s="31"/>
      <c r="C269" s="31"/>
      <c r="D269" s="31"/>
      <c r="E269" s="31"/>
      <c r="F269" s="31"/>
      <c r="G269" s="31"/>
      <c r="H269" s="31"/>
      <c r="I269" s="31"/>
      <c r="J269" s="31"/>
      <c r="K269" s="31"/>
      <c r="L269" s="31"/>
      <c r="N269" s="31"/>
      <c r="O269" s="31"/>
      <c r="P269" s="31"/>
      <c r="Q269" s="31"/>
      <c r="R269" s="31"/>
      <c r="S269" s="31"/>
    </row>
    <row r="270" spans="1:19" ht="12.75" customHeight="1" x14ac:dyDescent="0.35">
      <c r="A270" s="31"/>
      <c r="B270" s="31"/>
      <c r="C270" s="31"/>
      <c r="D270" s="31"/>
      <c r="E270" s="31"/>
      <c r="F270" s="31"/>
      <c r="G270" s="31"/>
      <c r="H270" s="31"/>
      <c r="I270" s="31"/>
      <c r="J270" s="31"/>
      <c r="K270" s="31"/>
      <c r="L270" s="31"/>
      <c r="N270" s="31"/>
      <c r="O270" s="31"/>
      <c r="P270" s="31"/>
      <c r="Q270" s="31"/>
      <c r="R270" s="31"/>
      <c r="S270" s="31"/>
    </row>
    <row r="271" spans="1:19" ht="12.75" customHeight="1" x14ac:dyDescent="0.35">
      <c r="A271" s="31"/>
      <c r="B271" s="31"/>
      <c r="C271" s="31"/>
      <c r="D271" s="31"/>
      <c r="E271" s="31"/>
      <c r="F271" s="31"/>
      <c r="G271" s="31"/>
      <c r="H271" s="31"/>
      <c r="I271" s="31"/>
      <c r="J271" s="31"/>
      <c r="K271" s="31"/>
      <c r="L271" s="31"/>
      <c r="N271" s="31"/>
      <c r="O271" s="31"/>
      <c r="P271" s="31"/>
      <c r="Q271" s="31"/>
      <c r="R271" s="31"/>
      <c r="S271" s="31"/>
    </row>
    <row r="272" spans="1:19" ht="12.75" customHeight="1" x14ac:dyDescent="0.35">
      <c r="A272" s="31"/>
      <c r="B272" s="31"/>
      <c r="C272" s="31"/>
      <c r="D272" s="31"/>
      <c r="E272" s="31"/>
      <c r="F272" s="31"/>
      <c r="G272" s="31"/>
      <c r="H272" s="31"/>
      <c r="I272" s="31"/>
      <c r="J272" s="31"/>
      <c r="K272" s="31"/>
      <c r="L272" s="31"/>
      <c r="N272" s="31"/>
      <c r="O272" s="31"/>
      <c r="P272" s="31"/>
      <c r="Q272" s="31"/>
      <c r="R272" s="31"/>
      <c r="S272" s="31"/>
    </row>
    <row r="273" spans="1:19" ht="12.75" customHeight="1" x14ac:dyDescent="0.35">
      <c r="A273" s="31"/>
      <c r="B273" s="31"/>
      <c r="C273" s="31"/>
      <c r="D273" s="31"/>
      <c r="E273" s="31"/>
      <c r="F273" s="31"/>
      <c r="G273" s="31"/>
      <c r="H273" s="31"/>
      <c r="I273" s="31"/>
      <c r="J273" s="31"/>
      <c r="K273" s="31"/>
      <c r="L273" s="31"/>
      <c r="N273" s="31"/>
      <c r="O273" s="31"/>
      <c r="P273" s="31"/>
      <c r="Q273" s="31"/>
      <c r="R273" s="31"/>
      <c r="S273" s="31"/>
    </row>
    <row r="274" spans="1:19" ht="12.75" customHeight="1" x14ac:dyDescent="0.35">
      <c r="A274" s="31"/>
      <c r="B274" s="31"/>
      <c r="C274" s="31"/>
      <c r="D274" s="31"/>
      <c r="E274" s="31"/>
      <c r="F274" s="31"/>
      <c r="G274" s="31"/>
      <c r="H274" s="31"/>
      <c r="I274" s="31"/>
      <c r="J274" s="31"/>
      <c r="K274" s="31"/>
      <c r="L274" s="31"/>
      <c r="N274" s="31"/>
      <c r="O274" s="31"/>
      <c r="P274" s="31"/>
      <c r="Q274" s="31"/>
      <c r="R274" s="31"/>
      <c r="S274" s="31"/>
    </row>
    <row r="275" spans="1:19" ht="12.75" customHeight="1" x14ac:dyDescent="0.35">
      <c r="A275" s="31"/>
      <c r="B275" s="31"/>
      <c r="C275" s="31"/>
      <c r="D275" s="31"/>
      <c r="E275" s="31"/>
      <c r="F275" s="31"/>
      <c r="G275" s="31"/>
      <c r="H275" s="31"/>
      <c r="I275" s="31"/>
      <c r="J275" s="31"/>
      <c r="K275" s="31"/>
      <c r="L275" s="31"/>
      <c r="N275" s="31"/>
      <c r="O275" s="31"/>
      <c r="P275" s="31"/>
      <c r="Q275" s="31"/>
      <c r="R275" s="31"/>
      <c r="S275" s="31"/>
    </row>
    <row r="276" spans="1:19" ht="12.75" customHeight="1" x14ac:dyDescent="0.35">
      <c r="A276" s="31"/>
      <c r="B276" s="31"/>
      <c r="C276" s="31"/>
      <c r="D276" s="31"/>
      <c r="E276" s="31"/>
      <c r="F276" s="31"/>
      <c r="G276" s="31"/>
      <c r="H276" s="31"/>
      <c r="I276" s="31"/>
      <c r="J276" s="31"/>
      <c r="K276" s="31"/>
      <c r="L276" s="31"/>
      <c r="N276" s="31"/>
      <c r="O276" s="31"/>
      <c r="P276" s="31"/>
      <c r="Q276" s="31"/>
      <c r="R276" s="31"/>
      <c r="S276" s="31"/>
    </row>
    <row r="277" spans="1:19" ht="12.75" customHeight="1" x14ac:dyDescent="0.35">
      <c r="A277" s="31"/>
      <c r="B277" s="31"/>
      <c r="C277" s="31"/>
      <c r="D277" s="31"/>
      <c r="E277" s="31"/>
      <c r="F277" s="31"/>
      <c r="G277" s="31"/>
      <c r="H277" s="31"/>
      <c r="I277" s="31"/>
      <c r="J277" s="31"/>
      <c r="K277" s="31"/>
      <c r="L277" s="31"/>
      <c r="N277" s="31"/>
      <c r="O277" s="31"/>
      <c r="P277" s="31"/>
      <c r="Q277" s="31"/>
      <c r="R277" s="31"/>
      <c r="S277" s="31"/>
    </row>
    <row r="278" spans="1:19" ht="12.75" customHeight="1" x14ac:dyDescent="0.35">
      <c r="A278" s="31"/>
      <c r="B278" s="31"/>
      <c r="C278" s="31"/>
      <c r="D278" s="31"/>
      <c r="E278" s="31"/>
      <c r="F278" s="31"/>
      <c r="G278" s="31"/>
      <c r="H278" s="31"/>
      <c r="I278" s="31"/>
      <c r="J278" s="31"/>
      <c r="K278" s="31"/>
      <c r="L278" s="31"/>
      <c r="N278" s="31"/>
      <c r="O278" s="31"/>
      <c r="P278" s="31"/>
      <c r="Q278" s="31"/>
      <c r="R278" s="31"/>
      <c r="S278" s="31"/>
    </row>
    <row r="279" spans="1:19" ht="12.75" customHeight="1" x14ac:dyDescent="0.35">
      <c r="A279" s="31"/>
      <c r="B279" s="31"/>
      <c r="C279" s="31"/>
      <c r="D279" s="31"/>
      <c r="E279" s="31"/>
      <c r="F279" s="31"/>
      <c r="G279" s="31"/>
      <c r="H279" s="31"/>
      <c r="I279" s="31"/>
      <c r="J279" s="31"/>
      <c r="K279" s="31"/>
      <c r="L279" s="31"/>
      <c r="N279" s="31"/>
      <c r="O279" s="31"/>
      <c r="P279" s="31"/>
      <c r="Q279" s="31"/>
      <c r="R279" s="31"/>
      <c r="S279" s="31"/>
    </row>
    <row r="280" spans="1:19" ht="12.75" customHeight="1" x14ac:dyDescent="0.35">
      <c r="A280" s="31"/>
      <c r="B280" s="31"/>
      <c r="C280" s="31"/>
      <c r="D280" s="31"/>
      <c r="E280" s="31"/>
      <c r="F280" s="31"/>
      <c r="G280" s="31"/>
      <c r="H280" s="31"/>
      <c r="I280" s="31"/>
      <c r="J280" s="31"/>
      <c r="K280" s="31"/>
      <c r="L280" s="31"/>
      <c r="N280" s="31"/>
      <c r="O280" s="31"/>
      <c r="P280" s="31"/>
      <c r="Q280" s="31"/>
      <c r="R280" s="31"/>
      <c r="S280" s="31"/>
    </row>
    <row r="281" spans="1:19" ht="12.75" customHeight="1" x14ac:dyDescent="0.35">
      <c r="A281" s="31"/>
      <c r="B281" s="31"/>
      <c r="C281" s="31"/>
      <c r="D281" s="31"/>
      <c r="E281" s="31"/>
      <c r="F281" s="31"/>
      <c r="G281" s="31"/>
      <c r="H281" s="31"/>
      <c r="I281" s="31"/>
      <c r="J281" s="31"/>
      <c r="K281" s="31"/>
      <c r="L281" s="31"/>
      <c r="N281" s="31"/>
      <c r="O281" s="31"/>
      <c r="P281" s="31"/>
      <c r="Q281" s="31"/>
      <c r="R281" s="31"/>
      <c r="S281" s="31"/>
    </row>
    <row r="282" spans="1:19" ht="12.75" customHeight="1" x14ac:dyDescent="0.35">
      <c r="A282" s="31"/>
      <c r="B282" s="31"/>
      <c r="C282" s="31"/>
      <c r="D282" s="31"/>
      <c r="E282" s="31"/>
      <c r="F282" s="31"/>
      <c r="G282" s="31"/>
      <c r="H282" s="31"/>
      <c r="I282" s="31"/>
      <c r="J282" s="31"/>
      <c r="K282" s="31"/>
      <c r="L282" s="31"/>
      <c r="N282" s="31"/>
      <c r="O282" s="31"/>
      <c r="P282" s="31"/>
      <c r="Q282" s="31"/>
      <c r="R282" s="31"/>
      <c r="S282" s="31"/>
    </row>
    <row r="283" spans="1:19" ht="12.75" customHeight="1" x14ac:dyDescent="0.35">
      <c r="A283" s="31"/>
      <c r="B283" s="31"/>
      <c r="C283" s="31"/>
      <c r="D283" s="31"/>
      <c r="E283" s="31"/>
      <c r="F283" s="31"/>
      <c r="G283" s="31"/>
      <c r="H283" s="31"/>
      <c r="I283" s="31"/>
      <c r="J283" s="31"/>
      <c r="K283" s="31"/>
      <c r="L283" s="31"/>
      <c r="N283" s="31"/>
      <c r="O283" s="31"/>
      <c r="P283" s="31"/>
      <c r="Q283" s="31"/>
      <c r="R283" s="31"/>
      <c r="S283" s="31"/>
    </row>
    <row r="284" spans="1:19" ht="12.75" customHeight="1" x14ac:dyDescent="0.35">
      <c r="A284" s="31"/>
      <c r="B284" s="31"/>
      <c r="C284" s="31"/>
      <c r="D284" s="31"/>
      <c r="E284" s="31"/>
      <c r="F284" s="31"/>
      <c r="G284" s="31"/>
      <c r="H284" s="31"/>
      <c r="I284" s="31"/>
      <c r="J284" s="31"/>
      <c r="K284" s="31"/>
      <c r="L284" s="31"/>
      <c r="N284" s="31"/>
      <c r="O284" s="31"/>
      <c r="P284" s="31"/>
      <c r="Q284" s="31"/>
      <c r="R284" s="31"/>
      <c r="S284" s="31"/>
    </row>
    <row r="285" spans="1:19" ht="12.75" customHeight="1" x14ac:dyDescent="0.35">
      <c r="A285" s="31"/>
      <c r="B285" s="31"/>
      <c r="C285" s="31"/>
      <c r="D285" s="31"/>
      <c r="E285" s="31"/>
      <c r="F285" s="31"/>
      <c r="G285" s="31"/>
      <c r="H285" s="31"/>
      <c r="I285" s="31"/>
      <c r="J285" s="31"/>
      <c r="K285" s="31"/>
      <c r="L285" s="31"/>
      <c r="N285" s="31"/>
      <c r="O285" s="31"/>
      <c r="P285" s="31"/>
      <c r="Q285" s="31"/>
      <c r="R285" s="31"/>
      <c r="S285" s="31"/>
    </row>
    <row r="286" spans="1:19" ht="12.75" customHeight="1" x14ac:dyDescent="0.35">
      <c r="A286" s="31"/>
      <c r="B286" s="31"/>
      <c r="C286" s="31"/>
      <c r="D286" s="31"/>
      <c r="E286" s="31"/>
      <c r="F286" s="31"/>
      <c r="G286" s="31"/>
      <c r="H286" s="31"/>
      <c r="I286" s="31"/>
      <c r="J286" s="31"/>
      <c r="K286" s="31"/>
      <c r="L286" s="31"/>
      <c r="N286" s="31"/>
      <c r="O286" s="31"/>
      <c r="P286" s="31"/>
      <c r="Q286" s="31"/>
      <c r="R286" s="31"/>
      <c r="S286" s="31"/>
    </row>
    <row r="287" spans="1:19" ht="12.75" customHeight="1" x14ac:dyDescent="0.35">
      <c r="A287" s="31"/>
      <c r="B287" s="31"/>
      <c r="C287" s="31"/>
      <c r="D287" s="31"/>
      <c r="E287" s="31"/>
      <c r="F287" s="31"/>
      <c r="G287" s="31"/>
      <c r="H287" s="31"/>
      <c r="I287" s="31"/>
      <c r="J287" s="31"/>
      <c r="K287" s="31"/>
      <c r="L287" s="31"/>
      <c r="N287" s="31"/>
      <c r="O287" s="31"/>
      <c r="P287" s="31"/>
      <c r="Q287" s="31"/>
      <c r="R287" s="31"/>
      <c r="S287" s="31"/>
    </row>
    <row r="288" spans="1:19" ht="12.75" customHeight="1" x14ac:dyDescent="0.35">
      <c r="A288" s="31"/>
      <c r="B288" s="31"/>
      <c r="C288" s="31"/>
      <c r="D288" s="31"/>
      <c r="E288" s="31"/>
      <c r="F288" s="31"/>
      <c r="G288" s="31"/>
      <c r="H288" s="31"/>
      <c r="I288" s="31"/>
      <c r="J288" s="31"/>
      <c r="K288" s="31"/>
      <c r="L288" s="31"/>
      <c r="N288" s="31"/>
      <c r="O288" s="31"/>
      <c r="P288" s="31"/>
      <c r="Q288" s="31"/>
      <c r="R288" s="31"/>
      <c r="S288" s="31"/>
    </row>
    <row r="289" spans="1:19" ht="12.75" customHeight="1" x14ac:dyDescent="0.35">
      <c r="A289" s="31"/>
      <c r="B289" s="31"/>
      <c r="C289" s="31"/>
      <c r="D289" s="31"/>
      <c r="E289" s="31"/>
      <c r="F289" s="31"/>
      <c r="G289" s="31"/>
      <c r="H289" s="31"/>
      <c r="I289" s="31"/>
      <c r="J289" s="31"/>
      <c r="K289" s="31"/>
      <c r="L289" s="31"/>
      <c r="N289" s="31"/>
      <c r="O289" s="31"/>
      <c r="P289" s="31"/>
      <c r="Q289" s="31"/>
      <c r="R289" s="31"/>
      <c r="S289" s="31"/>
    </row>
    <row r="290" spans="1:19" ht="12.75" customHeight="1" x14ac:dyDescent="0.35">
      <c r="A290" s="31"/>
      <c r="B290" s="31"/>
      <c r="C290" s="31"/>
      <c r="D290" s="31"/>
      <c r="E290" s="31"/>
      <c r="F290" s="31"/>
      <c r="G290" s="31"/>
      <c r="H290" s="31"/>
      <c r="I290" s="31"/>
      <c r="J290" s="31"/>
      <c r="K290" s="31"/>
      <c r="L290" s="31"/>
      <c r="N290" s="31"/>
      <c r="O290" s="31"/>
      <c r="P290" s="31"/>
      <c r="Q290" s="31"/>
      <c r="R290" s="31"/>
      <c r="S290" s="31"/>
    </row>
    <row r="291" spans="1:19" ht="12.75" customHeight="1" x14ac:dyDescent="0.35">
      <c r="A291" s="31"/>
      <c r="B291" s="31"/>
      <c r="C291" s="31"/>
      <c r="D291" s="31"/>
      <c r="E291" s="31"/>
      <c r="F291" s="31"/>
      <c r="G291" s="31"/>
      <c r="H291" s="31"/>
      <c r="I291" s="31"/>
      <c r="J291" s="31"/>
      <c r="K291" s="31"/>
      <c r="L291" s="31"/>
      <c r="N291" s="31"/>
      <c r="O291" s="31"/>
      <c r="P291" s="31"/>
      <c r="Q291" s="31"/>
      <c r="R291" s="31"/>
      <c r="S291" s="31"/>
    </row>
    <row r="292" spans="1:19" ht="12.75" customHeight="1" x14ac:dyDescent="0.35">
      <c r="A292" s="31"/>
      <c r="B292" s="31"/>
      <c r="C292" s="31"/>
      <c r="D292" s="31"/>
      <c r="E292" s="31"/>
      <c r="F292" s="31"/>
      <c r="G292" s="31"/>
      <c r="H292" s="31"/>
      <c r="I292" s="31"/>
      <c r="J292" s="31"/>
      <c r="K292" s="31"/>
      <c r="L292" s="31"/>
      <c r="N292" s="31"/>
      <c r="O292" s="31"/>
      <c r="P292" s="31"/>
      <c r="Q292" s="31"/>
      <c r="R292" s="31"/>
      <c r="S292" s="31"/>
    </row>
    <row r="293" spans="1:19" ht="12.75" customHeight="1" x14ac:dyDescent="0.35">
      <c r="A293" s="31"/>
      <c r="B293" s="31"/>
      <c r="C293" s="31"/>
      <c r="D293" s="31"/>
      <c r="E293" s="31"/>
      <c r="F293" s="31"/>
      <c r="G293" s="31"/>
      <c r="H293" s="31"/>
      <c r="I293" s="31"/>
      <c r="J293" s="31"/>
      <c r="K293" s="31"/>
      <c r="L293" s="31"/>
      <c r="N293" s="31"/>
      <c r="O293" s="31"/>
      <c r="P293" s="31"/>
      <c r="Q293" s="31"/>
      <c r="R293" s="31"/>
      <c r="S293" s="31"/>
    </row>
    <row r="294" spans="1:19" ht="12.75" customHeight="1" x14ac:dyDescent="0.35">
      <c r="A294" s="31"/>
      <c r="B294" s="31"/>
      <c r="C294" s="31"/>
      <c r="D294" s="31"/>
      <c r="E294" s="31"/>
      <c r="F294" s="31"/>
      <c r="G294" s="31"/>
      <c r="H294" s="31"/>
      <c r="I294" s="31"/>
      <c r="J294" s="31"/>
      <c r="K294" s="31"/>
      <c r="L294" s="31"/>
      <c r="N294" s="31"/>
      <c r="O294" s="31"/>
      <c r="P294" s="31"/>
      <c r="Q294" s="31"/>
      <c r="R294" s="31"/>
      <c r="S294" s="31"/>
    </row>
    <row r="295" spans="1:19" ht="12.75" customHeight="1" x14ac:dyDescent="0.35">
      <c r="A295" s="31"/>
      <c r="B295" s="31"/>
      <c r="C295" s="31"/>
      <c r="D295" s="31"/>
      <c r="E295" s="31"/>
      <c r="F295" s="31"/>
      <c r="G295" s="31"/>
      <c r="H295" s="31"/>
      <c r="I295" s="31"/>
      <c r="J295" s="31"/>
      <c r="K295" s="31"/>
      <c r="L295" s="31"/>
      <c r="N295" s="31"/>
      <c r="O295" s="31"/>
      <c r="P295" s="31"/>
      <c r="Q295" s="31"/>
      <c r="R295" s="31"/>
      <c r="S295" s="31"/>
    </row>
    <row r="296" spans="1:19" ht="12.75" customHeight="1" x14ac:dyDescent="0.35">
      <c r="A296" s="31"/>
      <c r="B296" s="31"/>
      <c r="C296" s="31"/>
      <c r="D296" s="31"/>
      <c r="E296" s="31"/>
      <c r="F296" s="31"/>
      <c r="G296" s="31"/>
      <c r="H296" s="31"/>
      <c r="I296" s="31"/>
      <c r="J296" s="31"/>
      <c r="K296" s="31"/>
      <c r="L296" s="31"/>
      <c r="N296" s="31"/>
      <c r="O296" s="31"/>
      <c r="P296" s="31"/>
      <c r="Q296" s="31"/>
      <c r="R296" s="31"/>
      <c r="S296" s="31"/>
    </row>
    <row r="297" spans="1:19" ht="12.75" customHeight="1" x14ac:dyDescent="0.35">
      <c r="A297" s="31"/>
      <c r="B297" s="31"/>
      <c r="C297" s="31"/>
      <c r="D297" s="31"/>
      <c r="E297" s="31"/>
      <c r="F297" s="31"/>
      <c r="G297" s="31"/>
      <c r="H297" s="31"/>
      <c r="I297" s="31"/>
      <c r="J297" s="31"/>
      <c r="K297" s="31"/>
      <c r="L297" s="31"/>
      <c r="N297" s="31"/>
      <c r="O297" s="31"/>
      <c r="P297" s="31"/>
      <c r="Q297" s="31"/>
      <c r="R297" s="31"/>
      <c r="S297" s="31"/>
    </row>
    <row r="298" spans="1:19" ht="12.75" customHeight="1" x14ac:dyDescent="0.35">
      <c r="A298" s="31"/>
      <c r="B298" s="31"/>
      <c r="C298" s="31"/>
      <c r="D298" s="31"/>
      <c r="E298" s="31"/>
      <c r="F298" s="31"/>
      <c r="G298" s="31"/>
      <c r="H298" s="31"/>
      <c r="I298" s="31"/>
      <c r="J298" s="31"/>
      <c r="K298" s="31"/>
      <c r="L298" s="31"/>
      <c r="N298" s="31"/>
      <c r="O298" s="31"/>
      <c r="P298" s="31"/>
      <c r="Q298" s="31"/>
      <c r="R298" s="31"/>
      <c r="S298" s="31"/>
    </row>
    <row r="299" spans="1:19" ht="12.75" customHeight="1" x14ac:dyDescent="0.35">
      <c r="A299" s="31"/>
      <c r="B299" s="31"/>
      <c r="C299" s="31"/>
      <c r="D299" s="31"/>
      <c r="E299" s="31"/>
      <c r="F299" s="31"/>
      <c r="G299" s="31"/>
      <c r="H299" s="31"/>
      <c r="I299" s="31"/>
      <c r="J299" s="31"/>
      <c r="K299" s="31"/>
      <c r="L299" s="31"/>
      <c r="N299" s="31"/>
      <c r="O299" s="31"/>
      <c r="P299" s="31"/>
      <c r="Q299" s="31"/>
      <c r="R299" s="31"/>
      <c r="S299" s="31"/>
    </row>
    <row r="300" spans="1:19" ht="12.75" customHeight="1" x14ac:dyDescent="0.35">
      <c r="A300" s="31"/>
      <c r="B300" s="31"/>
      <c r="C300" s="31"/>
      <c r="D300" s="31"/>
      <c r="E300" s="31"/>
      <c r="F300" s="31"/>
      <c r="G300" s="31"/>
      <c r="H300" s="31"/>
      <c r="I300" s="31"/>
      <c r="J300" s="31"/>
      <c r="K300" s="31"/>
      <c r="L300" s="31"/>
      <c r="N300" s="31"/>
      <c r="O300" s="31"/>
      <c r="P300" s="31"/>
      <c r="Q300" s="31"/>
      <c r="R300" s="31"/>
      <c r="S300" s="31"/>
    </row>
    <row r="301" spans="1:19" ht="12.75" customHeight="1" x14ac:dyDescent="0.35">
      <c r="A301" s="31"/>
      <c r="B301" s="31"/>
      <c r="C301" s="31"/>
      <c r="D301" s="31"/>
      <c r="E301" s="31"/>
      <c r="F301" s="31"/>
      <c r="G301" s="31"/>
      <c r="H301" s="31"/>
      <c r="I301" s="31"/>
      <c r="J301" s="31"/>
      <c r="K301" s="31"/>
      <c r="L301" s="31"/>
      <c r="N301" s="31"/>
      <c r="O301" s="31"/>
      <c r="P301" s="31"/>
      <c r="Q301" s="31"/>
      <c r="R301" s="31"/>
      <c r="S301" s="31"/>
    </row>
    <row r="302" spans="1:19" ht="12.75" customHeight="1" x14ac:dyDescent="0.35">
      <c r="A302" s="31"/>
      <c r="B302" s="31"/>
      <c r="C302" s="31"/>
      <c r="D302" s="31"/>
      <c r="E302" s="31"/>
      <c r="F302" s="31"/>
      <c r="G302" s="31"/>
      <c r="H302" s="31"/>
      <c r="I302" s="31"/>
      <c r="J302" s="31"/>
      <c r="K302" s="31"/>
      <c r="L302" s="31"/>
      <c r="N302" s="31"/>
      <c r="O302" s="31"/>
      <c r="P302" s="31"/>
      <c r="Q302" s="31"/>
      <c r="R302" s="31"/>
      <c r="S302" s="31"/>
    </row>
    <row r="303" spans="1:19" ht="12.75" customHeight="1" x14ac:dyDescent="0.35">
      <c r="A303" s="31"/>
      <c r="B303" s="31"/>
      <c r="C303" s="31"/>
      <c r="D303" s="31"/>
      <c r="E303" s="31"/>
      <c r="F303" s="31"/>
      <c r="G303" s="31"/>
      <c r="H303" s="31"/>
      <c r="I303" s="31"/>
      <c r="J303" s="31"/>
      <c r="K303" s="31"/>
      <c r="L303" s="31"/>
      <c r="N303" s="31"/>
      <c r="O303" s="31"/>
      <c r="P303" s="31"/>
      <c r="Q303" s="31"/>
      <c r="R303" s="31"/>
      <c r="S303" s="31"/>
    </row>
    <row r="304" spans="1:19" ht="12.75" customHeight="1" x14ac:dyDescent="0.35">
      <c r="A304" s="31"/>
      <c r="B304" s="31"/>
      <c r="C304" s="31"/>
      <c r="D304" s="31"/>
      <c r="E304" s="31"/>
      <c r="F304" s="31"/>
      <c r="G304" s="31"/>
      <c r="H304" s="31"/>
      <c r="I304" s="31"/>
      <c r="J304" s="31"/>
      <c r="K304" s="31"/>
      <c r="L304" s="31"/>
      <c r="N304" s="31"/>
      <c r="O304" s="31"/>
      <c r="P304" s="31"/>
      <c r="Q304" s="31"/>
      <c r="R304" s="31"/>
      <c r="S304" s="31"/>
    </row>
    <row r="305" spans="1:19" ht="12.75" customHeight="1" x14ac:dyDescent="0.35">
      <c r="A305" s="31"/>
      <c r="B305" s="31"/>
      <c r="C305" s="31"/>
      <c r="D305" s="31"/>
      <c r="E305" s="31"/>
      <c r="F305" s="31"/>
      <c r="G305" s="31"/>
      <c r="H305" s="31"/>
      <c r="I305" s="31"/>
      <c r="J305" s="31"/>
      <c r="K305" s="31"/>
      <c r="L305" s="31"/>
      <c r="N305" s="31"/>
      <c r="O305" s="31"/>
      <c r="P305" s="31"/>
      <c r="Q305" s="31"/>
      <c r="R305" s="31"/>
      <c r="S305" s="31"/>
    </row>
    <row r="306" spans="1:19" ht="12.75" customHeight="1" x14ac:dyDescent="0.35">
      <c r="A306" s="31"/>
      <c r="B306" s="31"/>
      <c r="C306" s="31"/>
      <c r="D306" s="31"/>
      <c r="E306" s="31"/>
      <c r="F306" s="31"/>
      <c r="G306" s="31"/>
      <c r="H306" s="31"/>
      <c r="I306" s="31"/>
      <c r="J306" s="31"/>
      <c r="K306" s="31"/>
      <c r="L306" s="31"/>
      <c r="N306" s="31"/>
      <c r="O306" s="31"/>
      <c r="P306" s="31"/>
      <c r="Q306" s="31"/>
      <c r="R306" s="31"/>
      <c r="S306" s="31"/>
    </row>
    <row r="307" spans="1:19" ht="12.75" customHeight="1" x14ac:dyDescent="0.35">
      <c r="A307" s="31"/>
      <c r="B307" s="31"/>
      <c r="C307" s="31"/>
      <c r="D307" s="31"/>
      <c r="E307" s="31"/>
      <c r="F307" s="31"/>
      <c r="G307" s="31"/>
      <c r="H307" s="31"/>
      <c r="I307" s="31"/>
      <c r="J307" s="31"/>
      <c r="K307" s="31"/>
      <c r="L307" s="31"/>
      <c r="N307" s="31"/>
      <c r="O307" s="31"/>
      <c r="P307" s="31"/>
      <c r="Q307" s="31"/>
      <c r="R307" s="31"/>
      <c r="S307" s="31"/>
    </row>
    <row r="308" spans="1:19" ht="12.75" customHeight="1" x14ac:dyDescent="0.35">
      <c r="A308" s="31"/>
      <c r="B308" s="31"/>
      <c r="C308" s="31"/>
      <c r="D308" s="31"/>
      <c r="E308" s="31"/>
      <c r="F308" s="31"/>
      <c r="G308" s="31"/>
      <c r="H308" s="31"/>
      <c r="I308" s="31"/>
      <c r="J308" s="31"/>
      <c r="K308" s="31"/>
      <c r="L308" s="31"/>
      <c r="N308" s="31"/>
      <c r="O308" s="31"/>
      <c r="P308" s="31"/>
      <c r="Q308" s="31"/>
      <c r="R308" s="31"/>
      <c r="S308" s="31"/>
    </row>
    <row r="309" spans="1:19" ht="12.75" customHeight="1" x14ac:dyDescent="0.35">
      <c r="A309" s="31"/>
      <c r="B309" s="31"/>
      <c r="C309" s="31"/>
      <c r="D309" s="31"/>
      <c r="E309" s="31"/>
      <c r="F309" s="31"/>
      <c r="G309" s="31"/>
      <c r="H309" s="31"/>
      <c r="I309" s="31"/>
      <c r="J309" s="31"/>
      <c r="K309" s="31"/>
      <c r="L309" s="31"/>
      <c r="N309" s="31"/>
      <c r="O309" s="31"/>
      <c r="P309" s="31"/>
      <c r="Q309" s="31"/>
      <c r="R309" s="31"/>
      <c r="S309" s="31"/>
    </row>
    <row r="310" spans="1:19" ht="12.75" customHeight="1" x14ac:dyDescent="0.35">
      <c r="A310" s="31"/>
      <c r="B310" s="31"/>
      <c r="C310" s="31"/>
      <c r="D310" s="31"/>
      <c r="E310" s="31"/>
      <c r="F310" s="31"/>
      <c r="G310" s="31"/>
      <c r="H310" s="31"/>
      <c r="I310" s="31"/>
      <c r="J310" s="31"/>
      <c r="K310" s="31"/>
      <c r="L310" s="31"/>
      <c r="N310" s="31"/>
      <c r="O310" s="31"/>
      <c r="P310" s="31"/>
      <c r="Q310" s="31"/>
      <c r="R310" s="31"/>
      <c r="S310" s="31"/>
    </row>
    <row r="311" spans="1:19" ht="12.75" customHeight="1" x14ac:dyDescent="0.35">
      <c r="A311" s="31"/>
      <c r="B311" s="31"/>
      <c r="C311" s="31"/>
      <c r="D311" s="31"/>
      <c r="E311" s="31"/>
      <c r="F311" s="31"/>
      <c r="G311" s="31"/>
      <c r="H311" s="31"/>
      <c r="I311" s="31"/>
      <c r="J311" s="31"/>
      <c r="K311" s="31"/>
      <c r="L311" s="31"/>
      <c r="N311" s="31"/>
      <c r="O311" s="31"/>
      <c r="P311" s="31"/>
      <c r="Q311" s="31"/>
      <c r="R311" s="31"/>
      <c r="S311" s="31"/>
    </row>
    <row r="312" spans="1:19" ht="12.75" customHeight="1" x14ac:dyDescent="0.35">
      <c r="A312" s="31"/>
      <c r="B312" s="31"/>
      <c r="C312" s="31"/>
      <c r="D312" s="31"/>
      <c r="E312" s="31"/>
      <c r="F312" s="31"/>
      <c r="G312" s="31"/>
      <c r="H312" s="31"/>
      <c r="I312" s="31"/>
      <c r="J312" s="31"/>
      <c r="K312" s="31"/>
      <c r="L312" s="31"/>
      <c r="N312" s="31"/>
      <c r="O312" s="31"/>
      <c r="P312" s="31"/>
      <c r="Q312" s="31"/>
      <c r="R312" s="31"/>
      <c r="S312" s="31"/>
    </row>
    <row r="313" spans="1:19" ht="12.75" customHeight="1" x14ac:dyDescent="0.35">
      <c r="A313" s="31"/>
      <c r="B313" s="31"/>
      <c r="C313" s="31"/>
      <c r="D313" s="31"/>
      <c r="E313" s="31"/>
      <c r="F313" s="31"/>
      <c r="G313" s="31"/>
      <c r="H313" s="31"/>
      <c r="I313" s="31"/>
      <c r="J313" s="31"/>
      <c r="K313" s="31"/>
      <c r="L313" s="31"/>
      <c r="N313" s="31"/>
      <c r="O313" s="31"/>
      <c r="P313" s="31"/>
      <c r="Q313" s="31"/>
      <c r="R313" s="31"/>
      <c r="S313" s="31"/>
    </row>
    <row r="314" spans="1:19" ht="12.75" customHeight="1" x14ac:dyDescent="0.35">
      <c r="A314" s="31"/>
      <c r="B314" s="31"/>
      <c r="C314" s="31"/>
      <c r="D314" s="31"/>
      <c r="E314" s="31"/>
      <c r="F314" s="31"/>
      <c r="G314" s="31"/>
      <c r="H314" s="31"/>
      <c r="I314" s="31"/>
      <c r="J314" s="31"/>
      <c r="K314" s="31"/>
      <c r="L314" s="31"/>
      <c r="N314" s="31"/>
      <c r="O314" s="31"/>
      <c r="P314" s="31"/>
      <c r="Q314" s="31"/>
      <c r="R314" s="31"/>
      <c r="S314" s="31"/>
    </row>
    <row r="315" spans="1:19" ht="12.75" customHeight="1" x14ac:dyDescent="0.35">
      <c r="A315" s="31"/>
      <c r="B315" s="31"/>
      <c r="C315" s="31"/>
      <c r="D315" s="31"/>
      <c r="E315" s="31"/>
      <c r="F315" s="31"/>
      <c r="G315" s="31"/>
      <c r="H315" s="31"/>
      <c r="I315" s="31"/>
      <c r="J315" s="31"/>
      <c r="K315" s="31"/>
      <c r="L315" s="31"/>
      <c r="N315" s="31"/>
      <c r="O315" s="31"/>
      <c r="P315" s="31"/>
      <c r="Q315" s="31"/>
      <c r="R315" s="31"/>
      <c r="S315" s="31"/>
    </row>
    <row r="316" spans="1:19" ht="12.75" customHeight="1" x14ac:dyDescent="0.35">
      <c r="A316" s="31"/>
      <c r="B316" s="31"/>
      <c r="C316" s="31"/>
      <c r="D316" s="31"/>
      <c r="E316" s="31"/>
      <c r="F316" s="31"/>
      <c r="G316" s="31"/>
      <c r="H316" s="31"/>
      <c r="I316" s="31"/>
      <c r="J316" s="31"/>
      <c r="K316" s="31"/>
      <c r="L316" s="31"/>
      <c r="N316" s="31"/>
      <c r="O316" s="31"/>
      <c r="P316" s="31"/>
      <c r="Q316" s="31"/>
      <c r="R316" s="31"/>
      <c r="S316" s="31"/>
    </row>
    <row r="317" spans="1:19" ht="12.75" customHeight="1" x14ac:dyDescent="0.35">
      <c r="A317" s="31"/>
      <c r="B317" s="31"/>
      <c r="C317" s="31"/>
      <c r="D317" s="31"/>
      <c r="E317" s="31"/>
      <c r="F317" s="31"/>
      <c r="G317" s="31"/>
      <c r="H317" s="31"/>
      <c r="I317" s="31"/>
      <c r="J317" s="31"/>
      <c r="K317" s="31"/>
      <c r="L317" s="31"/>
      <c r="N317" s="31"/>
      <c r="O317" s="31"/>
      <c r="P317" s="31"/>
      <c r="Q317" s="31"/>
      <c r="R317" s="31"/>
      <c r="S317" s="31"/>
    </row>
    <row r="318" spans="1:19" ht="12.75" customHeight="1" x14ac:dyDescent="0.35">
      <c r="A318" s="31"/>
      <c r="B318" s="31"/>
      <c r="C318" s="31"/>
      <c r="D318" s="31"/>
      <c r="E318" s="31"/>
      <c r="F318" s="31"/>
      <c r="G318" s="31"/>
      <c r="H318" s="31"/>
      <c r="I318" s="31"/>
      <c r="J318" s="31"/>
      <c r="K318" s="31"/>
      <c r="L318" s="31"/>
      <c r="N318" s="31"/>
      <c r="O318" s="31"/>
      <c r="P318" s="31"/>
      <c r="Q318" s="31"/>
      <c r="R318" s="31"/>
      <c r="S318" s="31"/>
    </row>
    <row r="319" spans="1:19" ht="12.75" customHeight="1" x14ac:dyDescent="0.35">
      <c r="A319" s="31"/>
      <c r="B319" s="31"/>
      <c r="C319" s="31"/>
      <c r="D319" s="31"/>
      <c r="E319" s="31"/>
      <c r="F319" s="31"/>
      <c r="G319" s="31"/>
      <c r="H319" s="31"/>
      <c r="I319" s="31"/>
      <c r="J319" s="31"/>
      <c r="K319" s="31"/>
      <c r="L319" s="31"/>
      <c r="N319" s="31"/>
      <c r="O319" s="31"/>
      <c r="P319" s="31"/>
      <c r="Q319" s="31"/>
      <c r="R319" s="31"/>
      <c r="S319" s="31"/>
    </row>
    <row r="320" spans="1:19" ht="12.75" customHeight="1" x14ac:dyDescent="0.35">
      <c r="A320" s="31"/>
      <c r="B320" s="31"/>
      <c r="C320" s="31"/>
      <c r="D320" s="31"/>
      <c r="E320" s="31"/>
      <c r="F320" s="31"/>
      <c r="G320" s="31"/>
      <c r="H320" s="31"/>
      <c r="I320" s="31"/>
      <c r="J320" s="31"/>
      <c r="K320" s="31"/>
      <c r="L320" s="31"/>
      <c r="N320" s="31"/>
      <c r="O320" s="31"/>
      <c r="P320" s="31"/>
      <c r="Q320" s="31"/>
      <c r="R320" s="31"/>
      <c r="S320" s="31"/>
    </row>
    <row r="321" spans="1:19" ht="12.75" customHeight="1" x14ac:dyDescent="0.35">
      <c r="A321" s="31"/>
      <c r="B321" s="31"/>
      <c r="C321" s="31"/>
      <c r="D321" s="31"/>
      <c r="E321" s="31"/>
      <c r="F321" s="31"/>
      <c r="G321" s="31"/>
      <c r="H321" s="31"/>
      <c r="I321" s="31"/>
      <c r="J321" s="31"/>
      <c r="K321" s="31"/>
      <c r="L321" s="31"/>
      <c r="N321" s="31"/>
      <c r="O321" s="31"/>
      <c r="P321" s="31"/>
      <c r="Q321" s="31"/>
      <c r="R321" s="31"/>
      <c r="S321" s="31"/>
    </row>
    <row r="322" spans="1:19" ht="12.75" customHeight="1" x14ac:dyDescent="0.35">
      <c r="A322" s="31"/>
      <c r="B322" s="31"/>
      <c r="C322" s="31"/>
      <c r="D322" s="31"/>
      <c r="E322" s="31"/>
      <c r="F322" s="31"/>
      <c r="G322" s="31"/>
      <c r="H322" s="31"/>
      <c r="I322" s="31"/>
      <c r="J322" s="31"/>
      <c r="K322" s="31"/>
      <c r="L322" s="31"/>
      <c r="N322" s="31"/>
      <c r="O322" s="31"/>
      <c r="P322" s="31"/>
      <c r="Q322" s="31"/>
      <c r="R322" s="31"/>
      <c r="S322" s="31"/>
    </row>
    <row r="323" spans="1:19" ht="12.75" customHeight="1" x14ac:dyDescent="0.35">
      <c r="A323" s="31"/>
      <c r="B323" s="31"/>
      <c r="C323" s="31"/>
      <c r="D323" s="31"/>
      <c r="E323" s="31"/>
      <c r="F323" s="31"/>
      <c r="G323" s="31"/>
      <c r="H323" s="31"/>
      <c r="I323" s="31"/>
      <c r="J323" s="31"/>
      <c r="K323" s="31"/>
      <c r="L323" s="31"/>
      <c r="N323" s="31"/>
      <c r="O323" s="31"/>
      <c r="P323" s="31"/>
      <c r="Q323" s="31"/>
      <c r="R323" s="31"/>
      <c r="S323" s="31"/>
    </row>
    <row r="324" spans="1:19" ht="12.75" customHeight="1" x14ac:dyDescent="0.35">
      <c r="A324" s="31"/>
      <c r="B324" s="31"/>
      <c r="C324" s="31"/>
      <c r="D324" s="31"/>
      <c r="E324" s="31"/>
      <c r="F324" s="31"/>
      <c r="G324" s="31"/>
      <c r="H324" s="31"/>
      <c r="I324" s="31"/>
      <c r="J324" s="31"/>
      <c r="K324" s="31"/>
      <c r="L324" s="31"/>
      <c r="N324" s="31"/>
      <c r="O324" s="31"/>
      <c r="P324" s="31"/>
      <c r="Q324" s="31"/>
      <c r="R324" s="31"/>
      <c r="S324" s="31"/>
    </row>
    <row r="325" spans="1:19" ht="12.75" customHeight="1" x14ac:dyDescent="0.35">
      <c r="A325" s="31"/>
      <c r="B325" s="31"/>
      <c r="C325" s="31"/>
      <c r="D325" s="31"/>
      <c r="E325" s="31"/>
      <c r="F325" s="31"/>
      <c r="G325" s="31"/>
      <c r="H325" s="31"/>
      <c r="I325" s="31"/>
      <c r="J325" s="31"/>
      <c r="K325" s="31"/>
      <c r="L325" s="31"/>
      <c r="N325" s="31"/>
      <c r="O325" s="31"/>
      <c r="P325" s="31"/>
      <c r="Q325" s="31"/>
      <c r="R325" s="31"/>
      <c r="S325" s="31"/>
    </row>
    <row r="326" spans="1:19" ht="12.75" customHeight="1" x14ac:dyDescent="0.35">
      <c r="A326" s="31"/>
      <c r="B326" s="31"/>
      <c r="C326" s="31"/>
      <c r="D326" s="31"/>
      <c r="E326" s="31"/>
      <c r="F326" s="31"/>
      <c r="G326" s="31"/>
      <c r="H326" s="31"/>
      <c r="I326" s="31"/>
      <c r="J326" s="31"/>
      <c r="K326" s="31"/>
      <c r="L326" s="31"/>
      <c r="N326" s="31"/>
      <c r="O326" s="31"/>
      <c r="P326" s="31"/>
      <c r="Q326" s="31"/>
      <c r="R326" s="31"/>
      <c r="S326" s="31"/>
    </row>
    <row r="327" spans="1:19" ht="12.75" customHeight="1" x14ac:dyDescent="0.35">
      <c r="A327" s="31"/>
      <c r="B327" s="31"/>
      <c r="C327" s="31"/>
      <c r="D327" s="31"/>
      <c r="E327" s="31"/>
      <c r="F327" s="31"/>
      <c r="G327" s="31"/>
      <c r="H327" s="31"/>
      <c r="I327" s="31"/>
      <c r="J327" s="31"/>
      <c r="K327" s="31"/>
      <c r="L327" s="31"/>
      <c r="N327" s="31"/>
      <c r="O327" s="31"/>
      <c r="P327" s="31"/>
      <c r="Q327" s="31"/>
      <c r="R327" s="31"/>
      <c r="S327" s="31"/>
    </row>
    <row r="328" spans="1:19" ht="12.75" customHeight="1" x14ac:dyDescent="0.35">
      <c r="A328" s="31"/>
      <c r="B328" s="31"/>
      <c r="C328" s="31"/>
      <c r="D328" s="31"/>
      <c r="E328" s="31"/>
      <c r="F328" s="31"/>
      <c r="G328" s="31"/>
      <c r="H328" s="31"/>
      <c r="I328" s="31"/>
      <c r="J328" s="31"/>
      <c r="K328" s="31"/>
      <c r="L328" s="31"/>
      <c r="N328" s="31"/>
      <c r="O328" s="31"/>
      <c r="P328" s="31"/>
      <c r="Q328" s="31"/>
      <c r="R328" s="31"/>
      <c r="S328" s="31"/>
    </row>
    <row r="329" spans="1:19" ht="12.75" customHeight="1" x14ac:dyDescent="0.35">
      <c r="A329" s="31"/>
      <c r="B329" s="31"/>
      <c r="C329" s="31"/>
      <c r="D329" s="31"/>
      <c r="E329" s="31"/>
      <c r="F329" s="31"/>
      <c r="G329" s="31"/>
      <c r="H329" s="31"/>
      <c r="I329" s="31"/>
      <c r="J329" s="31"/>
      <c r="K329" s="31"/>
      <c r="L329" s="31"/>
      <c r="N329" s="31"/>
      <c r="O329" s="31"/>
      <c r="P329" s="31"/>
      <c r="Q329" s="31"/>
      <c r="R329" s="31"/>
      <c r="S329" s="31"/>
    </row>
    <row r="330" spans="1:19" ht="12.75" customHeight="1" x14ac:dyDescent="0.35">
      <c r="A330" s="31"/>
      <c r="B330" s="31"/>
      <c r="C330" s="31"/>
      <c r="D330" s="31"/>
      <c r="E330" s="31"/>
      <c r="F330" s="31"/>
      <c r="G330" s="31"/>
      <c r="H330" s="31"/>
      <c r="I330" s="31"/>
      <c r="J330" s="31"/>
      <c r="K330" s="31"/>
      <c r="L330" s="31"/>
      <c r="N330" s="31"/>
      <c r="O330" s="31"/>
      <c r="P330" s="31"/>
      <c r="Q330" s="31"/>
      <c r="R330" s="31"/>
      <c r="S330" s="31"/>
    </row>
    <row r="331" spans="1:19" ht="12.75" customHeight="1" x14ac:dyDescent="0.35">
      <c r="A331" s="31"/>
      <c r="B331" s="31"/>
      <c r="C331" s="31"/>
      <c r="D331" s="31"/>
      <c r="E331" s="31"/>
      <c r="F331" s="31"/>
      <c r="G331" s="31"/>
      <c r="H331" s="31"/>
      <c r="I331" s="31"/>
      <c r="J331" s="31"/>
      <c r="K331" s="31"/>
      <c r="L331" s="31"/>
      <c r="N331" s="31"/>
      <c r="O331" s="31"/>
      <c r="P331" s="31"/>
      <c r="Q331" s="31"/>
      <c r="R331" s="31"/>
      <c r="S331" s="31"/>
    </row>
    <row r="332" spans="1:19" ht="12.75" customHeight="1" x14ac:dyDescent="0.35">
      <c r="B332" s="31"/>
      <c r="C332" s="31"/>
      <c r="D332" s="31"/>
      <c r="E332" s="31"/>
      <c r="F332" s="31"/>
      <c r="G332" s="31"/>
      <c r="H332" s="31"/>
      <c r="I332" s="31"/>
      <c r="J332" s="31"/>
      <c r="K332" s="31"/>
      <c r="L332" s="31"/>
      <c r="N332" s="31"/>
      <c r="O332" s="31"/>
      <c r="P332" s="31"/>
      <c r="Q332" s="31"/>
      <c r="R332" s="31"/>
      <c r="S332" s="31"/>
    </row>
    <row r="333" spans="1:19" ht="12.75" customHeight="1" x14ac:dyDescent="0.35">
      <c r="B333" s="31"/>
      <c r="C333" s="31"/>
      <c r="D333" s="31"/>
      <c r="E333" s="31"/>
      <c r="F333" s="31"/>
      <c r="G333" s="31"/>
      <c r="H333" s="31"/>
      <c r="I333" s="31"/>
      <c r="J333" s="31"/>
      <c r="K333" s="31"/>
      <c r="L333" s="31"/>
      <c r="N333" s="31"/>
      <c r="O333" s="31"/>
      <c r="P333" s="31"/>
      <c r="Q333" s="31"/>
      <c r="R333" s="31"/>
      <c r="S333" s="31"/>
    </row>
    <row r="334" spans="1:19" ht="12.75" customHeight="1" x14ac:dyDescent="0.35">
      <c r="B334" s="31"/>
      <c r="C334" s="31"/>
      <c r="D334" s="31"/>
      <c r="E334" s="31"/>
      <c r="F334" s="31"/>
      <c r="G334" s="31"/>
      <c r="H334" s="31"/>
      <c r="I334" s="31"/>
      <c r="J334" s="31"/>
      <c r="K334" s="31"/>
      <c r="L334" s="31"/>
      <c r="N334" s="31"/>
      <c r="O334" s="31"/>
      <c r="P334" s="31"/>
      <c r="Q334" s="31"/>
      <c r="R334" s="31"/>
      <c r="S334" s="31"/>
    </row>
    <row r="335" spans="1:19" ht="12.75" customHeight="1" x14ac:dyDescent="0.35">
      <c r="B335" s="31"/>
      <c r="C335" s="31"/>
      <c r="D335" s="31"/>
      <c r="E335" s="31"/>
      <c r="F335" s="31"/>
      <c r="G335" s="31"/>
      <c r="H335" s="31"/>
      <c r="I335" s="31"/>
      <c r="J335" s="31"/>
      <c r="K335" s="31"/>
      <c r="L335" s="31"/>
      <c r="N335" s="31"/>
      <c r="O335" s="31"/>
      <c r="P335" s="31"/>
      <c r="Q335" s="31"/>
      <c r="R335" s="31"/>
      <c r="S335" s="31"/>
    </row>
    <row r="336" spans="1:19" ht="12.75" customHeight="1" x14ac:dyDescent="0.35">
      <c r="B336" s="31"/>
      <c r="C336" s="31"/>
      <c r="D336" s="31"/>
      <c r="E336" s="31"/>
      <c r="F336" s="31"/>
      <c r="G336" s="31"/>
      <c r="H336" s="31"/>
      <c r="I336" s="31"/>
      <c r="J336" s="31"/>
      <c r="K336" s="31"/>
      <c r="L336" s="31"/>
      <c r="N336" s="31"/>
      <c r="O336" s="31"/>
      <c r="P336" s="31"/>
      <c r="Q336" s="31"/>
      <c r="R336" s="31"/>
      <c r="S336" s="31"/>
    </row>
    <row r="337" spans="2:19" ht="12.75" customHeight="1" x14ac:dyDescent="0.35">
      <c r="B337" s="31"/>
      <c r="C337" s="31"/>
      <c r="D337" s="31"/>
      <c r="E337" s="31"/>
      <c r="F337" s="31"/>
      <c r="G337" s="31"/>
      <c r="H337" s="31"/>
      <c r="I337" s="31"/>
      <c r="J337" s="31"/>
      <c r="K337" s="31"/>
      <c r="L337" s="31"/>
      <c r="N337" s="31"/>
      <c r="O337" s="31"/>
      <c r="P337" s="31"/>
      <c r="Q337" s="31"/>
      <c r="R337" s="31"/>
      <c r="S337" s="31"/>
    </row>
    <row r="338" spans="2:19" ht="12.75" customHeight="1" x14ac:dyDescent="0.35">
      <c r="B338" s="31"/>
      <c r="C338" s="31"/>
      <c r="D338" s="31"/>
      <c r="E338" s="31"/>
      <c r="F338" s="31"/>
      <c r="G338" s="31"/>
      <c r="H338" s="31"/>
      <c r="I338" s="31"/>
      <c r="J338" s="31"/>
      <c r="K338" s="31"/>
      <c r="L338" s="31"/>
      <c r="N338" s="31"/>
      <c r="O338" s="31"/>
      <c r="P338" s="31"/>
      <c r="Q338" s="31"/>
      <c r="R338" s="31"/>
      <c r="S338" s="31"/>
    </row>
    <row r="339" spans="2:19" ht="12.75" customHeight="1" x14ac:dyDescent="0.35">
      <c r="B339" s="31"/>
      <c r="C339" s="31"/>
      <c r="D339" s="31"/>
      <c r="E339" s="31"/>
      <c r="F339" s="31"/>
      <c r="G339" s="31"/>
      <c r="H339" s="31"/>
      <c r="I339" s="31"/>
      <c r="J339" s="31"/>
      <c r="K339" s="31"/>
      <c r="L339" s="31"/>
      <c r="N339" s="31"/>
      <c r="O339" s="31"/>
      <c r="P339" s="31"/>
      <c r="Q339" s="31"/>
      <c r="R339" s="31"/>
      <c r="S339" s="31"/>
    </row>
    <row r="340" spans="2:19" ht="12.75" customHeight="1" x14ac:dyDescent="0.35">
      <c r="B340" s="31"/>
      <c r="C340" s="31"/>
      <c r="D340" s="31"/>
      <c r="E340" s="31"/>
      <c r="F340" s="31"/>
      <c r="G340" s="31"/>
      <c r="H340" s="31"/>
      <c r="I340" s="31"/>
      <c r="J340" s="31"/>
      <c r="K340" s="31"/>
      <c r="L340" s="31"/>
      <c r="N340" s="31"/>
      <c r="O340" s="31"/>
      <c r="P340" s="31"/>
      <c r="Q340" s="31"/>
      <c r="R340" s="31"/>
      <c r="S340" s="31"/>
    </row>
    <row r="341" spans="2:19" ht="12.75" customHeight="1" x14ac:dyDescent="0.35">
      <c r="B341" s="31"/>
      <c r="C341" s="31"/>
      <c r="D341" s="31"/>
      <c r="E341" s="31"/>
      <c r="F341" s="31"/>
      <c r="G341" s="31"/>
      <c r="H341" s="31"/>
      <c r="I341" s="31"/>
      <c r="J341" s="31"/>
      <c r="K341" s="31"/>
      <c r="L341" s="31"/>
      <c r="N341" s="31"/>
      <c r="O341" s="31"/>
      <c r="P341" s="31"/>
      <c r="Q341" s="31"/>
      <c r="R341" s="31"/>
      <c r="S341" s="31"/>
    </row>
    <row r="342" spans="2:19" ht="12.75" customHeight="1" x14ac:dyDescent="0.35">
      <c r="B342" s="31"/>
      <c r="C342" s="31"/>
      <c r="D342" s="31"/>
      <c r="E342" s="31"/>
      <c r="F342" s="31"/>
      <c r="G342" s="31"/>
      <c r="H342" s="31"/>
      <c r="I342" s="31"/>
      <c r="J342" s="31"/>
      <c r="K342" s="31"/>
      <c r="L342" s="31"/>
      <c r="N342" s="31"/>
      <c r="O342" s="31"/>
      <c r="P342" s="31"/>
      <c r="Q342" s="31"/>
      <c r="R342" s="31"/>
      <c r="S342" s="31"/>
    </row>
    <row r="343" spans="2:19" ht="12.75" customHeight="1" x14ac:dyDescent="0.35">
      <c r="B343" s="31"/>
      <c r="C343" s="31"/>
      <c r="D343" s="31"/>
      <c r="E343" s="31"/>
      <c r="F343" s="31"/>
      <c r="G343" s="31"/>
      <c r="H343" s="31"/>
      <c r="I343" s="31"/>
      <c r="J343" s="31"/>
      <c r="K343" s="31"/>
      <c r="L343" s="31"/>
      <c r="N343" s="31"/>
      <c r="O343" s="31"/>
      <c r="P343" s="31"/>
      <c r="Q343" s="31"/>
      <c r="R343" s="31"/>
      <c r="S343" s="31"/>
    </row>
    <row r="344" spans="2:19" ht="12.75" customHeight="1" x14ac:dyDescent="0.35">
      <c r="B344" s="31"/>
      <c r="C344" s="31"/>
      <c r="D344" s="31"/>
      <c r="E344" s="31"/>
      <c r="F344" s="31"/>
      <c r="G344" s="31"/>
      <c r="H344" s="31"/>
      <c r="I344" s="31"/>
      <c r="J344" s="31"/>
      <c r="K344" s="31"/>
      <c r="L344" s="31"/>
      <c r="N344" s="31"/>
      <c r="O344" s="31"/>
      <c r="P344" s="31"/>
      <c r="Q344" s="31"/>
      <c r="R344" s="31"/>
      <c r="S344" s="31"/>
    </row>
    <row r="345" spans="2:19" ht="12.75" customHeight="1" x14ac:dyDescent="0.35">
      <c r="B345" s="31"/>
      <c r="C345" s="31"/>
      <c r="D345" s="31"/>
      <c r="E345" s="31"/>
      <c r="F345" s="31"/>
      <c r="G345" s="31"/>
      <c r="H345" s="31"/>
      <c r="I345" s="31"/>
      <c r="J345" s="31"/>
      <c r="K345" s="31"/>
      <c r="L345" s="31"/>
      <c r="N345" s="31"/>
      <c r="O345" s="31"/>
      <c r="P345" s="31"/>
      <c r="Q345" s="31"/>
      <c r="R345" s="31"/>
      <c r="S345" s="31"/>
    </row>
    <row r="346" spans="2:19" ht="12.75" customHeight="1" x14ac:dyDescent="0.35">
      <c r="B346" s="31"/>
      <c r="C346" s="31"/>
      <c r="D346" s="31"/>
      <c r="E346" s="31"/>
      <c r="F346" s="31"/>
      <c r="G346" s="31"/>
      <c r="H346" s="31"/>
      <c r="I346" s="31"/>
      <c r="J346" s="31"/>
      <c r="K346" s="31"/>
      <c r="L346" s="31"/>
      <c r="N346" s="31"/>
      <c r="O346" s="31"/>
      <c r="P346" s="31"/>
      <c r="Q346" s="31"/>
      <c r="R346" s="31"/>
      <c r="S346" s="31"/>
    </row>
    <row r="347" spans="2:19" ht="12.75" customHeight="1" x14ac:dyDescent="0.35">
      <c r="B347" s="31"/>
      <c r="C347" s="31"/>
      <c r="D347" s="31"/>
      <c r="E347" s="31"/>
      <c r="F347" s="31"/>
      <c r="G347" s="31"/>
      <c r="H347" s="31"/>
      <c r="I347" s="31"/>
      <c r="J347" s="31"/>
      <c r="K347" s="31"/>
      <c r="L347" s="31"/>
      <c r="N347" s="31"/>
      <c r="O347" s="31"/>
      <c r="P347" s="31"/>
      <c r="Q347" s="31"/>
      <c r="R347" s="31"/>
      <c r="S347" s="31"/>
    </row>
    <row r="348" spans="2:19" ht="12.75" customHeight="1" x14ac:dyDescent="0.35">
      <c r="B348" s="31"/>
      <c r="C348" s="31"/>
      <c r="D348" s="31"/>
      <c r="E348" s="31"/>
      <c r="F348" s="31"/>
      <c r="G348" s="31"/>
      <c r="H348" s="31"/>
      <c r="I348" s="31"/>
      <c r="J348" s="31"/>
      <c r="K348" s="31"/>
      <c r="L348" s="31"/>
      <c r="N348" s="31"/>
      <c r="O348" s="31"/>
      <c r="P348" s="31"/>
      <c r="Q348" s="31"/>
      <c r="R348" s="31"/>
      <c r="S348" s="31"/>
    </row>
    <row r="349" spans="2:19" ht="12.75" customHeight="1" x14ac:dyDescent="0.35">
      <c r="B349" s="31"/>
      <c r="C349" s="31"/>
      <c r="D349" s="31"/>
      <c r="E349" s="31"/>
      <c r="F349" s="31"/>
      <c r="G349" s="31"/>
      <c r="H349" s="31"/>
      <c r="I349" s="31"/>
      <c r="J349" s="31"/>
      <c r="K349" s="31"/>
      <c r="L349" s="31"/>
      <c r="N349" s="31"/>
      <c r="O349" s="31"/>
      <c r="P349" s="31"/>
      <c r="Q349" s="31"/>
      <c r="R349" s="31"/>
      <c r="S349" s="31"/>
    </row>
    <row r="350" spans="2:19" ht="12.75" customHeight="1" x14ac:dyDescent="0.35">
      <c r="B350" s="31"/>
      <c r="C350" s="31"/>
      <c r="D350" s="31"/>
      <c r="E350" s="31"/>
      <c r="F350" s="31"/>
      <c r="G350" s="31"/>
      <c r="H350" s="31"/>
      <c r="I350" s="31"/>
      <c r="J350" s="31"/>
      <c r="K350" s="31"/>
      <c r="L350" s="31"/>
      <c r="N350" s="31"/>
      <c r="O350" s="31"/>
      <c r="P350" s="31"/>
      <c r="Q350" s="31"/>
      <c r="R350" s="31"/>
      <c r="S350" s="31"/>
    </row>
    <row r="351" spans="2:19" ht="12.75" customHeight="1" x14ac:dyDescent="0.35">
      <c r="B351" s="31"/>
      <c r="C351" s="31"/>
      <c r="D351" s="31"/>
      <c r="E351" s="31"/>
      <c r="F351" s="31"/>
      <c r="G351" s="31"/>
      <c r="H351" s="31"/>
      <c r="I351" s="31"/>
      <c r="J351" s="31"/>
      <c r="K351" s="31"/>
      <c r="L351" s="31"/>
      <c r="N351" s="31"/>
      <c r="O351" s="31"/>
      <c r="P351" s="31"/>
      <c r="Q351" s="31"/>
      <c r="R351" s="31"/>
      <c r="S351" s="31"/>
    </row>
    <row r="352" spans="2:19" ht="12.75" customHeight="1" x14ac:dyDescent="0.35">
      <c r="B352" s="31"/>
      <c r="C352" s="31"/>
      <c r="D352" s="31"/>
      <c r="E352" s="31"/>
      <c r="F352" s="31"/>
      <c r="G352" s="31"/>
      <c r="H352" s="31"/>
      <c r="I352" s="31"/>
      <c r="J352" s="31"/>
      <c r="K352" s="31"/>
      <c r="L352" s="31"/>
      <c r="N352" s="31"/>
      <c r="O352" s="31"/>
      <c r="P352" s="31"/>
      <c r="Q352" s="31"/>
      <c r="R352" s="31"/>
      <c r="S352" s="31"/>
    </row>
    <row r="353" spans="2:19" ht="12.75" customHeight="1" x14ac:dyDescent="0.35">
      <c r="B353" s="31"/>
      <c r="C353" s="31"/>
      <c r="D353" s="31"/>
      <c r="E353" s="31"/>
      <c r="F353" s="31"/>
      <c r="G353" s="31"/>
      <c r="H353" s="31"/>
      <c r="I353" s="31"/>
      <c r="J353" s="31"/>
      <c r="K353" s="31"/>
      <c r="L353" s="31"/>
      <c r="N353" s="31"/>
      <c r="O353" s="31"/>
      <c r="P353" s="31"/>
      <c r="Q353" s="31"/>
      <c r="R353" s="31"/>
      <c r="S353" s="31"/>
    </row>
    <row r="354" spans="2:19" ht="12.75" customHeight="1" x14ac:dyDescent="0.35">
      <c r="B354" s="31"/>
      <c r="C354" s="31"/>
      <c r="D354" s="31"/>
      <c r="E354" s="31"/>
      <c r="F354" s="31"/>
      <c r="G354" s="31"/>
      <c r="H354" s="31"/>
      <c r="I354" s="31"/>
      <c r="J354" s="31"/>
      <c r="K354" s="31"/>
      <c r="L354" s="31"/>
      <c r="N354" s="31"/>
      <c r="O354" s="31"/>
      <c r="P354" s="31"/>
      <c r="Q354" s="31"/>
      <c r="R354" s="31"/>
      <c r="S354" s="31"/>
    </row>
    <row r="355" spans="2:19" ht="12.75" customHeight="1" x14ac:dyDescent="0.35">
      <c r="B355" s="31"/>
      <c r="C355" s="31"/>
      <c r="D355" s="31"/>
      <c r="E355" s="31"/>
      <c r="F355" s="31"/>
      <c r="G355" s="31"/>
      <c r="H355" s="31"/>
      <c r="I355" s="31"/>
      <c r="J355" s="31"/>
      <c r="K355" s="31"/>
      <c r="L355" s="31"/>
      <c r="N355" s="31"/>
      <c r="O355" s="31"/>
      <c r="P355" s="31"/>
      <c r="Q355" s="31"/>
      <c r="R355" s="31"/>
      <c r="S355" s="31"/>
    </row>
    <row r="356" spans="2:19" ht="12.75" customHeight="1" x14ac:dyDescent="0.35">
      <c r="B356" s="31"/>
      <c r="C356" s="31"/>
      <c r="D356" s="31"/>
      <c r="E356" s="31"/>
      <c r="F356" s="31"/>
      <c r="G356" s="31"/>
      <c r="H356" s="31"/>
      <c r="I356" s="31"/>
      <c r="J356" s="31"/>
      <c r="K356" s="31"/>
      <c r="L356" s="31"/>
      <c r="N356" s="31"/>
      <c r="O356" s="31"/>
      <c r="P356" s="31"/>
      <c r="Q356" s="31"/>
      <c r="R356" s="31"/>
      <c r="S356" s="31"/>
    </row>
    <row r="357" spans="2:19" ht="12.75" customHeight="1" x14ac:dyDescent="0.35">
      <c r="B357" s="31"/>
      <c r="C357" s="31"/>
      <c r="D357" s="31"/>
      <c r="E357" s="31"/>
      <c r="F357" s="31"/>
      <c r="G357" s="31"/>
      <c r="H357" s="31"/>
      <c r="I357" s="31"/>
      <c r="J357" s="31"/>
      <c r="K357" s="31"/>
      <c r="L357" s="31"/>
      <c r="N357" s="31"/>
      <c r="O357" s="31"/>
      <c r="P357" s="31"/>
      <c r="Q357" s="31"/>
      <c r="R357" s="31"/>
      <c r="S357" s="31"/>
    </row>
    <row r="358" spans="2:19" ht="12.75" customHeight="1" x14ac:dyDescent="0.35">
      <c r="B358" s="31"/>
      <c r="C358" s="31"/>
      <c r="D358" s="31"/>
      <c r="E358" s="31"/>
      <c r="F358" s="31"/>
      <c r="G358" s="31"/>
      <c r="H358" s="31"/>
      <c r="I358" s="31"/>
      <c r="J358" s="31"/>
      <c r="K358" s="31"/>
      <c r="L358" s="31"/>
      <c r="N358" s="31"/>
      <c r="O358" s="31"/>
      <c r="P358" s="31"/>
      <c r="Q358" s="31"/>
      <c r="R358" s="31"/>
      <c r="S358" s="31"/>
    </row>
    <row r="359" spans="2:19" ht="12.75" customHeight="1" x14ac:dyDescent="0.35">
      <c r="B359" s="31"/>
      <c r="C359" s="31"/>
      <c r="D359" s="31"/>
      <c r="E359" s="31"/>
      <c r="F359" s="31"/>
      <c r="G359" s="31"/>
      <c r="H359" s="31"/>
      <c r="I359" s="31"/>
      <c r="J359" s="31"/>
      <c r="K359" s="31"/>
      <c r="L359" s="31"/>
      <c r="N359" s="31"/>
      <c r="O359" s="31"/>
      <c r="P359" s="31"/>
      <c r="Q359" s="31"/>
      <c r="R359" s="31"/>
      <c r="S359" s="31"/>
    </row>
    <row r="360" spans="2:19" ht="12.75" customHeight="1" x14ac:dyDescent="0.35">
      <c r="B360" s="31"/>
      <c r="C360" s="31"/>
      <c r="D360" s="31"/>
      <c r="E360" s="31"/>
      <c r="F360" s="31"/>
      <c r="G360" s="31"/>
      <c r="H360" s="31"/>
      <c r="I360" s="31"/>
      <c r="J360" s="31"/>
      <c r="K360" s="31"/>
      <c r="L360" s="31"/>
      <c r="N360" s="31"/>
      <c r="O360" s="31"/>
      <c r="P360" s="31"/>
      <c r="Q360" s="31"/>
      <c r="R360" s="31"/>
      <c r="S360" s="31"/>
    </row>
    <row r="361" spans="2:19" ht="12.75" customHeight="1" x14ac:dyDescent="0.35">
      <c r="B361" s="31"/>
      <c r="C361" s="31"/>
      <c r="D361" s="31"/>
      <c r="E361" s="31"/>
      <c r="F361" s="31"/>
      <c r="G361" s="31"/>
      <c r="H361" s="31"/>
      <c r="I361" s="31"/>
      <c r="J361" s="31"/>
      <c r="K361" s="31"/>
      <c r="L361" s="31"/>
      <c r="N361" s="31"/>
      <c r="O361" s="31"/>
      <c r="P361" s="31"/>
      <c r="Q361" s="31"/>
      <c r="R361" s="31"/>
      <c r="S361" s="31"/>
    </row>
    <row r="362" spans="2:19" ht="12.75" customHeight="1" x14ac:dyDescent="0.35">
      <c r="B362" s="31"/>
      <c r="C362" s="31"/>
      <c r="D362" s="31"/>
      <c r="E362" s="31"/>
      <c r="F362" s="31"/>
      <c r="G362" s="31"/>
      <c r="H362" s="31"/>
      <c r="I362" s="31"/>
      <c r="J362" s="31"/>
      <c r="K362" s="31"/>
      <c r="L362" s="31"/>
      <c r="N362" s="31"/>
      <c r="O362" s="31"/>
      <c r="P362" s="31"/>
      <c r="Q362" s="31"/>
      <c r="R362" s="31"/>
      <c r="S362" s="31"/>
    </row>
    <row r="363" spans="2:19" ht="12.75" customHeight="1" x14ac:dyDescent="0.35">
      <c r="B363" s="31"/>
      <c r="C363" s="31"/>
      <c r="D363" s="31"/>
      <c r="E363" s="31"/>
      <c r="F363" s="31"/>
      <c r="G363" s="31"/>
      <c r="H363" s="31"/>
      <c r="I363" s="31"/>
      <c r="J363" s="31"/>
      <c r="K363" s="31"/>
      <c r="L363" s="31"/>
      <c r="N363" s="31"/>
      <c r="O363" s="31"/>
      <c r="P363" s="31"/>
      <c r="Q363" s="31"/>
      <c r="R363" s="31"/>
      <c r="S363" s="31"/>
    </row>
    <row r="364" spans="2:19" ht="12.75" customHeight="1" x14ac:dyDescent="0.35">
      <c r="B364" s="31"/>
      <c r="C364" s="31"/>
      <c r="D364" s="31"/>
      <c r="E364" s="31"/>
      <c r="F364" s="31"/>
      <c r="G364" s="31"/>
      <c r="H364" s="31"/>
      <c r="I364" s="31"/>
      <c r="J364" s="31"/>
      <c r="K364" s="31"/>
      <c r="L364" s="31"/>
      <c r="N364" s="31"/>
      <c r="O364" s="31"/>
      <c r="P364" s="31"/>
      <c r="Q364" s="31"/>
      <c r="R364" s="31"/>
      <c r="S364" s="31"/>
    </row>
    <row r="365" spans="2:19" ht="12.75" customHeight="1" x14ac:dyDescent="0.35">
      <c r="B365" s="31"/>
      <c r="C365" s="31"/>
      <c r="D365" s="31"/>
      <c r="E365" s="31"/>
      <c r="F365" s="31"/>
      <c r="G365" s="31"/>
      <c r="H365" s="31"/>
      <c r="I365" s="31"/>
      <c r="J365" s="31"/>
      <c r="K365" s="31"/>
      <c r="L365" s="31"/>
      <c r="N365" s="31"/>
      <c r="O365" s="31"/>
      <c r="P365" s="31"/>
      <c r="Q365" s="31"/>
      <c r="R365" s="31"/>
      <c r="S365" s="31"/>
    </row>
    <row r="366" spans="2:19" ht="12.75" customHeight="1" x14ac:dyDescent="0.35">
      <c r="B366" s="31"/>
      <c r="C366" s="31"/>
      <c r="D366" s="31"/>
      <c r="E366" s="31"/>
      <c r="F366" s="31"/>
      <c r="G366" s="31"/>
      <c r="H366" s="31"/>
      <c r="I366" s="31"/>
      <c r="J366" s="31"/>
      <c r="K366" s="31"/>
      <c r="L366" s="31"/>
      <c r="N366" s="31"/>
      <c r="O366" s="31"/>
      <c r="P366" s="31"/>
      <c r="Q366" s="31"/>
      <c r="R366" s="31"/>
      <c r="S366" s="31"/>
    </row>
    <row r="367" spans="2:19" ht="12.75" customHeight="1" x14ac:dyDescent="0.35">
      <c r="B367" s="31"/>
      <c r="C367" s="31"/>
      <c r="D367" s="31"/>
      <c r="E367" s="31"/>
      <c r="F367" s="31"/>
      <c r="G367" s="31"/>
      <c r="H367" s="31"/>
      <c r="I367" s="31"/>
      <c r="J367" s="31"/>
      <c r="K367" s="31"/>
      <c r="L367" s="31"/>
      <c r="N367" s="31"/>
      <c r="O367" s="31"/>
      <c r="P367" s="31"/>
      <c r="Q367" s="31"/>
      <c r="R367" s="31"/>
      <c r="S367" s="31"/>
    </row>
    <row r="368" spans="2:19" ht="12.75" customHeight="1" x14ac:dyDescent="0.35">
      <c r="B368" s="31"/>
      <c r="C368" s="31"/>
      <c r="D368" s="31"/>
      <c r="E368" s="31"/>
      <c r="F368" s="31"/>
      <c r="G368" s="31"/>
      <c r="H368" s="31"/>
      <c r="I368" s="31"/>
      <c r="J368" s="31"/>
      <c r="K368" s="31"/>
      <c r="L368" s="31"/>
      <c r="N368" s="31"/>
      <c r="O368" s="31"/>
      <c r="P368" s="31"/>
      <c r="Q368" s="31"/>
      <c r="R368" s="31"/>
      <c r="S368" s="31"/>
    </row>
    <row r="369" spans="2:19" ht="12.75" customHeight="1" x14ac:dyDescent="0.35">
      <c r="B369" s="31"/>
      <c r="C369" s="31"/>
      <c r="D369" s="31"/>
      <c r="E369" s="31"/>
      <c r="F369" s="31"/>
      <c r="G369" s="31"/>
      <c r="H369" s="31"/>
      <c r="I369" s="31"/>
      <c r="J369" s="31"/>
      <c r="K369" s="31"/>
      <c r="L369" s="31"/>
      <c r="N369" s="31"/>
      <c r="O369" s="31"/>
      <c r="P369" s="31"/>
      <c r="Q369" s="31"/>
      <c r="R369" s="31"/>
      <c r="S369" s="31"/>
    </row>
    <row r="370" spans="2:19" ht="12.75" customHeight="1" x14ac:dyDescent="0.35">
      <c r="B370" s="31"/>
      <c r="C370" s="31"/>
      <c r="D370" s="31"/>
      <c r="E370" s="31"/>
      <c r="F370" s="31"/>
      <c r="G370" s="31"/>
      <c r="H370" s="31"/>
      <c r="I370" s="31"/>
      <c r="J370" s="31"/>
      <c r="K370" s="31"/>
      <c r="L370" s="31"/>
      <c r="N370" s="31"/>
      <c r="O370" s="31"/>
      <c r="P370" s="31"/>
      <c r="Q370" s="31"/>
      <c r="R370" s="31"/>
      <c r="S370" s="31"/>
    </row>
    <row r="371" spans="2:19" ht="12.75" customHeight="1" x14ac:dyDescent="0.35">
      <c r="B371" s="31"/>
      <c r="C371" s="31"/>
      <c r="D371" s="31"/>
      <c r="E371" s="31"/>
      <c r="F371" s="31"/>
      <c r="G371" s="31"/>
      <c r="H371" s="31"/>
      <c r="I371" s="31"/>
      <c r="J371" s="31"/>
      <c r="K371" s="31"/>
      <c r="L371" s="31"/>
      <c r="N371" s="31"/>
      <c r="O371" s="31"/>
      <c r="P371" s="31"/>
      <c r="Q371" s="31"/>
      <c r="R371" s="31"/>
      <c r="S371" s="31"/>
    </row>
    <row r="372" spans="2:19" ht="12.75" customHeight="1" x14ac:dyDescent="0.35">
      <c r="B372" s="31"/>
      <c r="C372" s="31"/>
      <c r="D372" s="31"/>
      <c r="E372" s="31"/>
      <c r="F372" s="31"/>
      <c r="G372" s="31"/>
      <c r="H372" s="31"/>
      <c r="I372" s="31"/>
      <c r="J372" s="31"/>
      <c r="K372" s="31"/>
      <c r="L372" s="31"/>
      <c r="N372" s="31"/>
      <c r="O372" s="31"/>
      <c r="P372" s="31"/>
      <c r="Q372" s="31"/>
      <c r="R372" s="31"/>
      <c r="S372" s="31"/>
    </row>
    <row r="373" spans="2:19" ht="12.75" customHeight="1" x14ac:dyDescent="0.35">
      <c r="B373" s="31"/>
      <c r="C373" s="31"/>
      <c r="D373" s="31"/>
      <c r="E373" s="31"/>
      <c r="F373" s="31"/>
      <c r="G373" s="31"/>
      <c r="H373" s="31"/>
      <c r="I373" s="31"/>
      <c r="J373" s="31"/>
      <c r="K373" s="31"/>
      <c r="L373" s="31"/>
      <c r="N373" s="31"/>
      <c r="O373" s="31"/>
      <c r="P373" s="31"/>
      <c r="Q373" s="31"/>
      <c r="R373" s="31"/>
      <c r="S373" s="31"/>
    </row>
    <row r="374" spans="2:19" ht="12.75" customHeight="1" x14ac:dyDescent="0.35">
      <c r="B374" s="31"/>
      <c r="C374" s="31"/>
      <c r="D374" s="31"/>
      <c r="E374" s="31"/>
      <c r="F374" s="31"/>
      <c r="G374" s="31"/>
      <c r="H374" s="31"/>
      <c r="I374" s="31"/>
      <c r="J374" s="31"/>
      <c r="K374" s="31"/>
      <c r="L374" s="31"/>
      <c r="N374" s="31"/>
      <c r="O374" s="31"/>
      <c r="P374" s="31"/>
      <c r="Q374" s="31"/>
      <c r="R374" s="31"/>
      <c r="S374" s="31"/>
    </row>
    <row r="375" spans="2:19" ht="12.75" customHeight="1" x14ac:dyDescent="0.35">
      <c r="B375" s="31"/>
      <c r="C375" s="31"/>
      <c r="D375" s="31"/>
      <c r="E375" s="31"/>
      <c r="F375" s="31"/>
      <c r="G375" s="31"/>
      <c r="H375" s="31"/>
      <c r="I375" s="31"/>
      <c r="J375" s="31"/>
      <c r="K375" s="31"/>
      <c r="L375" s="31"/>
      <c r="N375" s="31"/>
      <c r="O375" s="31"/>
      <c r="P375" s="31"/>
      <c r="Q375" s="31"/>
      <c r="R375" s="31"/>
      <c r="S375" s="31"/>
    </row>
    <row r="376" spans="2:19" ht="12.75" customHeight="1" x14ac:dyDescent="0.35">
      <c r="B376" s="31"/>
      <c r="C376" s="31"/>
      <c r="D376" s="31"/>
      <c r="E376" s="31"/>
      <c r="F376" s="31"/>
      <c r="G376" s="31"/>
      <c r="H376" s="31"/>
      <c r="I376" s="31"/>
      <c r="J376" s="31"/>
      <c r="K376" s="31"/>
      <c r="L376" s="31"/>
      <c r="N376" s="31"/>
      <c r="O376" s="31"/>
      <c r="P376" s="31"/>
      <c r="Q376" s="31"/>
      <c r="R376" s="31"/>
      <c r="S376" s="31"/>
    </row>
    <row r="377" spans="2:19" ht="12.75" customHeight="1" x14ac:dyDescent="0.35">
      <c r="B377" s="31"/>
      <c r="C377" s="31"/>
      <c r="D377" s="31"/>
      <c r="E377" s="31"/>
      <c r="F377" s="31"/>
      <c r="G377" s="31"/>
      <c r="H377" s="31"/>
      <c r="I377" s="31"/>
      <c r="J377" s="31"/>
      <c r="K377" s="31"/>
      <c r="L377" s="31"/>
      <c r="N377" s="31"/>
      <c r="O377" s="31"/>
      <c r="P377" s="31"/>
      <c r="Q377" s="31"/>
      <c r="R377" s="31"/>
      <c r="S377" s="31"/>
    </row>
    <row r="378" spans="2:19" ht="12.75" customHeight="1" x14ac:dyDescent="0.35">
      <c r="B378" s="31"/>
      <c r="C378" s="31"/>
      <c r="D378" s="31"/>
      <c r="E378" s="31"/>
      <c r="F378" s="31"/>
      <c r="G378" s="31"/>
      <c r="H378" s="31"/>
      <c r="I378" s="31"/>
      <c r="J378" s="31"/>
      <c r="K378" s="31"/>
      <c r="L378" s="31"/>
      <c r="N378" s="31"/>
      <c r="O378" s="31"/>
      <c r="P378" s="31"/>
      <c r="Q378" s="31"/>
      <c r="R378" s="31"/>
      <c r="S378" s="31"/>
    </row>
    <row r="379" spans="2:19" ht="12.75" customHeight="1" x14ac:dyDescent="0.35">
      <c r="B379" s="31"/>
      <c r="C379" s="31"/>
      <c r="D379" s="31"/>
      <c r="E379" s="31"/>
      <c r="F379" s="31"/>
      <c r="G379" s="31"/>
      <c r="H379" s="31"/>
      <c r="I379" s="31"/>
      <c r="J379" s="31"/>
      <c r="K379" s="31"/>
      <c r="L379" s="31"/>
      <c r="N379" s="31"/>
      <c r="O379" s="31"/>
      <c r="P379" s="31"/>
      <c r="Q379" s="31"/>
      <c r="R379" s="31"/>
      <c r="S379" s="31"/>
    </row>
    <row r="380" spans="2:19" ht="12.75" customHeight="1" x14ac:dyDescent="0.35">
      <c r="B380" s="31"/>
      <c r="C380" s="31"/>
      <c r="D380" s="31"/>
      <c r="E380" s="31"/>
      <c r="F380" s="31"/>
      <c r="G380" s="31"/>
      <c r="H380" s="31"/>
      <c r="I380" s="31"/>
      <c r="J380" s="31"/>
      <c r="K380" s="31"/>
      <c r="L380" s="31"/>
      <c r="N380" s="31"/>
      <c r="O380" s="31"/>
      <c r="P380" s="31"/>
      <c r="Q380" s="31"/>
      <c r="R380" s="31"/>
      <c r="S380" s="31"/>
    </row>
    <row r="381" spans="2:19" ht="12.75" customHeight="1" x14ac:dyDescent="0.35">
      <c r="B381" s="31"/>
      <c r="C381" s="31"/>
      <c r="D381" s="31"/>
      <c r="E381" s="31"/>
      <c r="F381" s="31"/>
      <c r="G381" s="31"/>
      <c r="H381" s="31"/>
      <c r="I381" s="31"/>
      <c r="J381" s="31"/>
      <c r="K381" s="31"/>
      <c r="L381" s="31"/>
      <c r="N381" s="31"/>
      <c r="O381" s="31"/>
      <c r="P381" s="31"/>
      <c r="Q381" s="31"/>
      <c r="R381" s="31"/>
      <c r="S381" s="31"/>
    </row>
    <row r="382" spans="2:19" ht="12.75" customHeight="1" x14ac:dyDescent="0.35">
      <c r="B382" s="31"/>
      <c r="C382" s="31"/>
      <c r="D382" s="31"/>
      <c r="E382" s="31"/>
      <c r="F382" s="31"/>
      <c r="G382" s="31"/>
      <c r="H382" s="31"/>
      <c r="I382" s="31"/>
      <c r="J382" s="31"/>
      <c r="K382" s="31"/>
      <c r="L382" s="31"/>
      <c r="N382" s="31"/>
      <c r="O382" s="31"/>
      <c r="P382" s="31"/>
      <c r="Q382" s="31"/>
      <c r="R382" s="31"/>
      <c r="S382" s="31"/>
    </row>
    <row r="383" spans="2:19" ht="12.75" customHeight="1" x14ac:dyDescent="0.35">
      <c r="B383" s="31"/>
      <c r="C383" s="31"/>
      <c r="D383" s="31"/>
      <c r="E383" s="31"/>
      <c r="F383" s="31"/>
      <c r="G383" s="31"/>
      <c r="H383" s="31"/>
      <c r="I383" s="31"/>
      <c r="J383" s="31"/>
      <c r="K383" s="31"/>
      <c r="L383" s="31"/>
      <c r="N383" s="31"/>
      <c r="O383" s="31"/>
      <c r="P383" s="31"/>
      <c r="Q383" s="31"/>
      <c r="R383" s="31"/>
      <c r="S383" s="31"/>
    </row>
    <row r="384" spans="2:19" ht="12.75" customHeight="1" x14ac:dyDescent="0.35">
      <c r="B384" s="31"/>
      <c r="C384" s="31"/>
      <c r="D384" s="31"/>
      <c r="E384" s="31"/>
      <c r="F384" s="31"/>
      <c r="G384" s="31"/>
      <c r="H384" s="31"/>
      <c r="I384" s="31"/>
      <c r="J384" s="31"/>
      <c r="K384" s="31"/>
      <c r="L384" s="31"/>
      <c r="N384" s="31"/>
      <c r="O384" s="31"/>
      <c r="P384" s="31"/>
      <c r="Q384" s="31"/>
      <c r="R384" s="31"/>
      <c r="S384" s="31"/>
    </row>
    <row r="385" spans="2:19" ht="12.75" customHeight="1" x14ac:dyDescent="0.35">
      <c r="B385" s="31"/>
      <c r="C385" s="31"/>
      <c r="D385" s="31"/>
      <c r="E385" s="31"/>
      <c r="F385" s="31"/>
      <c r="G385" s="31"/>
      <c r="H385" s="31"/>
      <c r="I385" s="31"/>
      <c r="J385" s="31"/>
      <c r="K385" s="31"/>
      <c r="L385" s="31"/>
      <c r="N385" s="31"/>
      <c r="O385" s="31"/>
      <c r="P385" s="31"/>
      <c r="Q385" s="31"/>
      <c r="R385" s="31"/>
      <c r="S385" s="31"/>
    </row>
    <row r="386" spans="2:19" ht="12.75" customHeight="1" x14ac:dyDescent="0.35">
      <c r="B386" s="31"/>
      <c r="C386" s="31"/>
      <c r="D386" s="31"/>
      <c r="E386" s="31"/>
      <c r="F386" s="31"/>
      <c r="G386" s="31"/>
      <c r="H386" s="31"/>
      <c r="I386" s="31"/>
      <c r="J386" s="31"/>
      <c r="K386" s="31"/>
      <c r="L386" s="31"/>
      <c r="N386" s="31"/>
      <c r="O386" s="31"/>
      <c r="P386" s="31"/>
      <c r="Q386" s="31"/>
      <c r="R386" s="31"/>
      <c r="S386" s="31"/>
    </row>
    <row r="387" spans="2:19" ht="12.75" customHeight="1" x14ac:dyDescent="0.35">
      <c r="B387" s="31"/>
      <c r="C387" s="31"/>
      <c r="D387" s="31"/>
      <c r="E387" s="31"/>
      <c r="F387" s="31"/>
      <c r="G387" s="31"/>
      <c r="H387" s="31"/>
      <c r="I387" s="31"/>
      <c r="J387" s="31"/>
      <c r="K387" s="31"/>
      <c r="L387" s="31"/>
      <c r="N387" s="31"/>
      <c r="O387" s="31"/>
      <c r="P387" s="31"/>
      <c r="Q387" s="31"/>
      <c r="R387" s="31"/>
      <c r="S387" s="31"/>
    </row>
    <row r="388" spans="2:19" ht="12.75" customHeight="1" x14ac:dyDescent="0.35">
      <c r="B388" s="31"/>
      <c r="C388" s="31"/>
      <c r="D388" s="31"/>
      <c r="E388" s="31"/>
      <c r="F388" s="31"/>
      <c r="G388" s="31"/>
      <c r="H388" s="31"/>
      <c r="I388" s="31"/>
      <c r="J388" s="31"/>
      <c r="K388" s="31"/>
      <c r="L388" s="31"/>
      <c r="N388" s="31"/>
      <c r="O388" s="31"/>
      <c r="P388" s="31"/>
      <c r="Q388" s="31"/>
      <c r="R388" s="31"/>
      <c r="S388" s="31"/>
    </row>
    <row r="389" spans="2:19" ht="12.75" customHeight="1" x14ac:dyDescent="0.35">
      <c r="B389" s="31"/>
      <c r="C389" s="31"/>
      <c r="D389" s="31"/>
      <c r="E389" s="31"/>
      <c r="F389" s="31"/>
      <c r="G389" s="31"/>
      <c r="H389" s="31"/>
      <c r="I389" s="31"/>
      <c r="J389" s="31"/>
      <c r="K389" s="31"/>
      <c r="L389" s="31"/>
      <c r="N389" s="31"/>
      <c r="O389" s="31"/>
      <c r="P389" s="31"/>
      <c r="Q389" s="31"/>
      <c r="R389" s="31"/>
      <c r="S389" s="31"/>
    </row>
    <row r="390" spans="2:19" ht="12.75" customHeight="1" x14ac:dyDescent="0.35">
      <c r="B390" s="31"/>
      <c r="C390" s="31"/>
      <c r="D390" s="31"/>
      <c r="E390" s="31"/>
      <c r="F390" s="31"/>
      <c r="G390" s="31"/>
      <c r="H390" s="31"/>
      <c r="I390" s="31"/>
      <c r="J390" s="31"/>
      <c r="K390" s="31"/>
      <c r="L390" s="31"/>
      <c r="N390" s="31"/>
      <c r="O390" s="31"/>
      <c r="P390" s="31"/>
      <c r="Q390" s="31"/>
      <c r="R390" s="31"/>
      <c r="S390" s="31"/>
    </row>
    <row r="391" spans="2:19" ht="12.75" customHeight="1" x14ac:dyDescent="0.35">
      <c r="B391" s="31"/>
      <c r="C391" s="31"/>
      <c r="D391" s="31"/>
      <c r="E391" s="31"/>
      <c r="F391" s="31"/>
      <c r="G391" s="31"/>
      <c r="H391" s="31"/>
      <c r="I391" s="31"/>
      <c r="J391" s="31"/>
      <c r="K391" s="31"/>
      <c r="L391" s="31"/>
      <c r="N391" s="31"/>
      <c r="O391" s="31"/>
      <c r="P391" s="31"/>
      <c r="Q391" s="31"/>
      <c r="R391" s="31"/>
      <c r="S391" s="31"/>
    </row>
    <row r="392" spans="2:19" ht="12.75" customHeight="1" x14ac:dyDescent="0.35">
      <c r="B392" s="31"/>
      <c r="C392" s="31"/>
      <c r="D392" s="31"/>
      <c r="E392" s="31"/>
      <c r="F392" s="31"/>
      <c r="G392" s="31"/>
      <c r="H392" s="31"/>
      <c r="I392" s="31"/>
      <c r="J392" s="31"/>
      <c r="K392" s="31"/>
      <c r="L392" s="31"/>
      <c r="N392" s="31"/>
      <c r="O392" s="31"/>
      <c r="P392" s="31"/>
      <c r="Q392" s="31"/>
      <c r="R392" s="31"/>
      <c r="S392" s="31"/>
    </row>
    <row r="393" spans="2:19" ht="12.75" customHeight="1" x14ac:dyDescent="0.35">
      <c r="B393" s="31"/>
      <c r="C393" s="31"/>
      <c r="D393" s="31"/>
      <c r="E393" s="31"/>
      <c r="F393" s="31"/>
      <c r="G393" s="31"/>
      <c r="H393" s="31"/>
      <c r="I393" s="31"/>
      <c r="J393" s="31"/>
      <c r="K393" s="31"/>
      <c r="L393" s="31"/>
      <c r="N393" s="31"/>
      <c r="O393" s="31"/>
      <c r="P393" s="31"/>
      <c r="Q393" s="31"/>
      <c r="R393" s="31"/>
      <c r="S393" s="31"/>
    </row>
    <row r="394" spans="2:19" ht="12.75" customHeight="1" x14ac:dyDescent="0.35">
      <c r="B394" s="31"/>
      <c r="C394" s="31"/>
      <c r="D394" s="31"/>
      <c r="E394" s="31"/>
      <c r="F394" s="31"/>
      <c r="G394" s="31"/>
      <c r="H394" s="31"/>
      <c r="I394" s="31"/>
      <c r="J394" s="31"/>
      <c r="K394" s="31"/>
      <c r="L394" s="31"/>
      <c r="N394" s="31"/>
      <c r="O394" s="31"/>
      <c r="P394" s="31"/>
      <c r="Q394" s="31"/>
      <c r="R394" s="31"/>
      <c r="S394" s="31"/>
    </row>
    <row r="395" spans="2:19" ht="12.75" customHeight="1" x14ac:dyDescent="0.35">
      <c r="B395" s="31"/>
      <c r="C395" s="31"/>
      <c r="D395" s="31"/>
      <c r="E395" s="31"/>
      <c r="F395" s="31"/>
      <c r="G395" s="31"/>
      <c r="H395" s="31"/>
      <c r="I395" s="31"/>
      <c r="J395" s="31"/>
      <c r="K395" s="31"/>
      <c r="L395" s="31"/>
      <c r="N395" s="31"/>
      <c r="O395" s="31"/>
      <c r="P395" s="31"/>
      <c r="Q395" s="31"/>
      <c r="R395" s="31"/>
      <c r="S395" s="31"/>
    </row>
    <row r="396" spans="2:19" ht="12.75" customHeight="1" x14ac:dyDescent="0.35">
      <c r="B396" s="31"/>
      <c r="C396" s="31"/>
      <c r="D396" s="31"/>
      <c r="E396" s="31"/>
      <c r="F396" s="31"/>
      <c r="G396" s="31"/>
      <c r="H396" s="31"/>
      <c r="I396" s="31"/>
      <c r="J396" s="31"/>
      <c r="K396" s="31"/>
      <c r="L396" s="31"/>
      <c r="N396" s="31"/>
      <c r="O396" s="31"/>
      <c r="P396" s="31"/>
      <c r="Q396" s="31"/>
      <c r="R396" s="31"/>
      <c r="S396" s="31"/>
    </row>
    <row r="397" spans="2:19" ht="12.75" customHeight="1" x14ac:dyDescent="0.35">
      <c r="B397" s="31"/>
      <c r="C397" s="31"/>
      <c r="D397" s="31"/>
      <c r="E397" s="31"/>
      <c r="F397" s="31"/>
      <c r="G397" s="31"/>
      <c r="H397" s="31"/>
      <c r="I397" s="31"/>
      <c r="J397" s="31"/>
      <c r="K397" s="31"/>
      <c r="L397" s="31"/>
      <c r="N397" s="31"/>
      <c r="O397" s="31"/>
      <c r="P397" s="31"/>
      <c r="Q397" s="31"/>
      <c r="R397" s="31"/>
      <c r="S397" s="31"/>
    </row>
    <row r="398" spans="2:19" ht="12.75" customHeight="1" x14ac:dyDescent="0.35">
      <c r="B398" s="31"/>
      <c r="C398" s="31"/>
      <c r="D398" s="31"/>
      <c r="E398" s="31"/>
      <c r="F398" s="31"/>
      <c r="G398" s="31"/>
      <c r="H398" s="31"/>
      <c r="I398" s="31"/>
      <c r="J398" s="31"/>
      <c r="K398" s="31"/>
      <c r="L398" s="31"/>
      <c r="N398" s="31"/>
      <c r="O398" s="31"/>
      <c r="P398" s="31"/>
      <c r="Q398" s="31"/>
      <c r="R398" s="31"/>
      <c r="S398" s="31"/>
    </row>
    <row r="399" spans="2:19" ht="12.75" customHeight="1" x14ac:dyDescent="0.35">
      <c r="B399" s="31"/>
      <c r="C399" s="31"/>
      <c r="D399" s="31"/>
      <c r="E399" s="31"/>
      <c r="F399" s="31"/>
      <c r="G399" s="31"/>
      <c r="H399" s="31"/>
      <c r="I399" s="31"/>
      <c r="J399" s="31"/>
      <c r="K399" s="31"/>
      <c r="L399" s="31"/>
      <c r="N399" s="31"/>
      <c r="O399" s="31"/>
      <c r="P399" s="31"/>
      <c r="Q399" s="31"/>
      <c r="R399" s="31"/>
      <c r="S399" s="31"/>
    </row>
    <row r="400" spans="2:19" ht="12.75" customHeight="1" x14ac:dyDescent="0.35">
      <c r="B400" s="31"/>
      <c r="C400" s="31"/>
      <c r="D400" s="31"/>
      <c r="E400" s="31"/>
      <c r="F400" s="31"/>
      <c r="G400" s="31"/>
      <c r="H400" s="31"/>
      <c r="I400" s="31"/>
      <c r="J400" s="31"/>
      <c r="K400" s="31"/>
      <c r="L400" s="31"/>
      <c r="N400" s="31"/>
      <c r="O400" s="31"/>
      <c r="P400" s="31"/>
      <c r="Q400" s="31"/>
      <c r="R400" s="31"/>
      <c r="S400" s="31"/>
    </row>
    <row r="401" spans="2:19" ht="12.75" customHeight="1" x14ac:dyDescent="0.35">
      <c r="B401" s="31"/>
      <c r="C401" s="31"/>
      <c r="D401" s="31"/>
      <c r="E401" s="31"/>
      <c r="F401" s="31"/>
      <c r="G401" s="31"/>
      <c r="H401" s="31"/>
      <c r="I401" s="31"/>
      <c r="J401" s="31"/>
      <c r="K401" s="31"/>
      <c r="L401" s="31"/>
      <c r="N401" s="31"/>
      <c r="O401" s="31"/>
      <c r="P401" s="31"/>
      <c r="Q401" s="31"/>
      <c r="R401" s="31"/>
      <c r="S401" s="31"/>
    </row>
    <row r="402" spans="2:19" ht="12.75" customHeight="1" x14ac:dyDescent="0.35">
      <c r="B402" s="31"/>
      <c r="C402" s="31"/>
      <c r="D402" s="31"/>
      <c r="E402" s="31"/>
      <c r="F402" s="31"/>
      <c r="G402" s="31"/>
      <c r="H402" s="31"/>
      <c r="I402" s="31"/>
      <c r="J402" s="31"/>
      <c r="K402" s="31"/>
      <c r="L402" s="31"/>
      <c r="N402" s="31"/>
      <c r="O402" s="31"/>
      <c r="P402" s="31"/>
      <c r="Q402" s="31"/>
      <c r="R402" s="31"/>
      <c r="S402" s="31"/>
    </row>
    <row r="403" spans="2:19" ht="12.75" customHeight="1" x14ac:dyDescent="0.35">
      <c r="B403" s="31"/>
      <c r="C403" s="31"/>
      <c r="D403" s="31"/>
      <c r="E403" s="31"/>
      <c r="F403" s="31"/>
      <c r="G403" s="31"/>
      <c r="H403" s="31"/>
      <c r="I403" s="31"/>
      <c r="J403" s="31"/>
      <c r="K403" s="31"/>
      <c r="L403" s="31"/>
      <c r="N403" s="31"/>
      <c r="O403" s="31"/>
      <c r="P403" s="31"/>
      <c r="Q403" s="31"/>
      <c r="R403" s="31"/>
      <c r="S403" s="31"/>
    </row>
    <row r="404" spans="2:19" ht="12.75" customHeight="1" x14ac:dyDescent="0.35">
      <c r="B404" s="31"/>
      <c r="C404" s="31"/>
      <c r="D404" s="31"/>
      <c r="E404" s="31"/>
      <c r="F404" s="31"/>
      <c r="G404" s="31"/>
      <c r="H404" s="31"/>
      <c r="I404" s="31"/>
      <c r="J404" s="31"/>
      <c r="K404" s="31"/>
      <c r="L404" s="31"/>
      <c r="N404" s="31"/>
      <c r="O404" s="31"/>
      <c r="P404" s="31"/>
      <c r="Q404" s="31"/>
      <c r="R404" s="31"/>
      <c r="S404" s="31"/>
    </row>
    <row r="405" spans="2:19" ht="12.75" customHeight="1" x14ac:dyDescent="0.35">
      <c r="B405" s="31"/>
      <c r="C405" s="31"/>
      <c r="D405" s="31"/>
      <c r="E405" s="31"/>
      <c r="F405" s="31"/>
      <c r="G405" s="31"/>
      <c r="H405" s="31"/>
      <c r="I405" s="31"/>
      <c r="J405" s="31"/>
      <c r="K405" s="31"/>
      <c r="L405" s="31"/>
      <c r="N405" s="31"/>
      <c r="O405" s="31"/>
      <c r="P405" s="31"/>
      <c r="Q405" s="31"/>
      <c r="R405" s="31"/>
      <c r="S405" s="31"/>
    </row>
    <row r="406" spans="2:19" ht="12.75" customHeight="1" x14ac:dyDescent="0.35">
      <c r="B406" s="31"/>
      <c r="C406" s="31"/>
      <c r="D406" s="31"/>
      <c r="E406" s="31"/>
      <c r="F406" s="31"/>
      <c r="G406" s="31"/>
      <c r="H406" s="31"/>
      <c r="I406" s="31"/>
      <c r="J406" s="31"/>
      <c r="K406" s="31"/>
      <c r="L406" s="31"/>
      <c r="N406" s="31"/>
      <c r="O406" s="31"/>
      <c r="P406" s="31"/>
      <c r="Q406" s="31"/>
      <c r="R406" s="31"/>
      <c r="S406" s="31"/>
    </row>
    <row r="407" spans="2:19" ht="12.75" customHeight="1" x14ac:dyDescent="0.35">
      <c r="B407" s="31"/>
      <c r="C407" s="31"/>
      <c r="D407" s="31"/>
      <c r="E407" s="31"/>
      <c r="F407" s="31"/>
      <c r="G407" s="31"/>
      <c r="H407" s="31"/>
      <c r="I407" s="31"/>
      <c r="J407" s="31"/>
      <c r="K407" s="31"/>
      <c r="L407" s="31"/>
      <c r="N407" s="31"/>
      <c r="O407" s="31"/>
      <c r="P407" s="31"/>
      <c r="Q407" s="31"/>
      <c r="R407" s="31"/>
      <c r="S407" s="31"/>
    </row>
  </sheetData>
  <pageMargins left="0.75" right="0.75" top="1" bottom="1" header="0.5" footer="0.5"/>
  <pageSetup paperSize="9"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8F18A-8CA3-40A0-B2EA-7B1708EC3A1D}">
  <sheetPr codeName="Sheet10"/>
  <dimension ref="B1:W302"/>
  <sheetViews>
    <sheetView workbookViewId="0">
      <selection activeCell="K1" sqref="K1"/>
    </sheetView>
  </sheetViews>
  <sheetFormatPr defaultRowHeight="12.75" x14ac:dyDescent="0.35"/>
  <cols>
    <col min="2" max="2" width="43.86328125" bestFit="1" customWidth="1"/>
    <col min="3" max="3" width="12.265625" style="150" hidden="1" customWidth="1"/>
    <col min="4" max="4" width="13.06640625" style="149" hidden="1" customWidth="1"/>
    <col min="5" max="5" width="13.06640625" style="151" hidden="1" customWidth="1"/>
    <col min="6" max="6" width="13.06640625" style="152" hidden="1" customWidth="1"/>
    <col min="7" max="8" width="12" style="149" hidden="1" customWidth="1"/>
    <col min="9" max="11" width="9.796875" bestFit="1" customWidth="1"/>
    <col min="12" max="12" width="11.06640625" bestFit="1" customWidth="1"/>
    <col min="14" max="16" width="9.796875" bestFit="1" customWidth="1"/>
    <col min="17" max="17" width="11.06640625" bestFit="1" customWidth="1"/>
    <col min="19" max="21" width="9.796875" bestFit="1" customWidth="1"/>
    <col min="22" max="22" width="11.06640625" bestFit="1" customWidth="1"/>
    <col min="23" max="23" width="63.796875" customWidth="1"/>
  </cols>
  <sheetData>
    <row r="1" spans="2:23" ht="12.75" customHeight="1" x14ac:dyDescent="0.35">
      <c r="B1" s="145" t="s">
        <v>296</v>
      </c>
      <c r="C1" s="146"/>
      <c r="D1" s="147"/>
      <c r="E1" s="147"/>
      <c r="F1" s="148"/>
    </row>
    <row r="2" spans="2:23" ht="12.75" customHeight="1" x14ac:dyDescent="0.35">
      <c r="B2" s="52"/>
      <c r="C2" s="146"/>
      <c r="D2" s="147"/>
      <c r="E2" s="147"/>
      <c r="F2" s="148"/>
    </row>
    <row r="3" spans="2:23" ht="12.75" customHeight="1" x14ac:dyDescent="0.35">
      <c r="B3" s="52"/>
      <c r="C3" s="146"/>
      <c r="D3" s="147"/>
      <c r="E3" s="147"/>
      <c r="F3" s="148"/>
    </row>
    <row r="4" spans="2:23" ht="12.75" customHeight="1" x14ac:dyDescent="0.35">
      <c r="B4" s="52"/>
      <c r="C4" s="146"/>
      <c r="D4" s="147"/>
      <c r="E4" s="147"/>
      <c r="F4" s="148"/>
    </row>
    <row r="5" spans="2:23" ht="12.75" customHeight="1" x14ac:dyDescent="0.35">
      <c r="B5" s="52"/>
      <c r="C5" s="146"/>
      <c r="D5" s="147"/>
      <c r="E5" s="147"/>
      <c r="F5" s="148"/>
    </row>
    <row r="6" spans="2:23" ht="15.4" customHeight="1" thickBot="1" x14ac:dyDescent="0.4">
      <c r="B6" s="125"/>
      <c r="C6" s="146"/>
      <c r="D6" s="147"/>
      <c r="E6" s="147"/>
      <c r="F6" s="148"/>
    </row>
    <row r="7" spans="2:23" ht="12.75" customHeight="1" thickTop="1" x14ac:dyDescent="0.35">
      <c r="I7" s="202" t="s">
        <v>294</v>
      </c>
      <c r="J7" s="207"/>
      <c r="K7" s="188"/>
      <c r="L7" s="189"/>
      <c r="N7" s="202" t="s">
        <v>224</v>
      </c>
      <c r="O7" s="236" t="str">
        <f>B1</f>
        <v>Option E</v>
      </c>
      <c r="P7" s="188"/>
      <c r="Q7" s="189"/>
      <c r="S7" s="202" t="s">
        <v>295</v>
      </c>
      <c r="T7" s="207"/>
      <c r="U7" s="188"/>
      <c r="V7" s="189"/>
    </row>
    <row r="8" spans="2:23" ht="12.75" customHeight="1" x14ac:dyDescent="0.35">
      <c r="C8" s="153"/>
      <c r="F8" s="154" t="s">
        <v>140</v>
      </c>
      <c r="G8" s="154" t="s">
        <v>140</v>
      </c>
      <c r="I8" s="208"/>
      <c r="J8" s="209"/>
      <c r="K8" s="190" t="s">
        <v>140</v>
      </c>
      <c r="L8" s="191" t="s">
        <v>140</v>
      </c>
      <c r="N8" s="208"/>
      <c r="O8" s="209"/>
      <c r="P8" s="190" t="s">
        <v>140</v>
      </c>
      <c r="Q8" s="191" t="s">
        <v>140</v>
      </c>
      <c r="S8" s="208"/>
      <c r="T8" s="209"/>
      <c r="U8" s="190" t="s">
        <v>140</v>
      </c>
      <c r="V8" s="191" t="s">
        <v>140</v>
      </c>
    </row>
    <row r="9" spans="2:23" ht="12.75" customHeight="1" thickBot="1" x14ac:dyDescent="0.4">
      <c r="B9" s="4"/>
      <c r="C9" s="155"/>
      <c r="D9" s="156">
        <v>43983</v>
      </c>
      <c r="E9" s="157">
        <v>44348</v>
      </c>
      <c r="F9" s="158">
        <v>44713</v>
      </c>
      <c r="G9" s="159" t="s">
        <v>238</v>
      </c>
      <c r="I9" s="192">
        <v>43983</v>
      </c>
      <c r="J9" s="193">
        <v>44348</v>
      </c>
      <c r="K9" s="194">
        <v>44713</v>
      </c>
      <c r="L9" s="195" t="s">
        <v>238</v>
      </c>
      <c r="N9" s="192">
        <v>43983</v>
      </c>
      <c r="O9" s="193">
        <v>44348</v>
      </c>
      <c r="P9" s="194">
        <v>44713</v>
      </c>
      <c r="Q9" s="195" t="s">
        <v>238</v>
      </c>
      <c r="S9" s="192">
        <v>43983</v>
      </c>
      <c r="T9" s="193">
        <v>44348</v>
      </c>
      <c r="U9" s="194">
        <v>44713</v>
      </c>
      <c r="V9" s="195" t="s">
        <v>238</v>
      </c>
    </row>
    <row r="10" spans="2:23" ht="12.75" customHeight="1" thickTop="1" thickBot="1" x14ac:dyDescent="0.4">
      <c r="C10" s="160"/>
      <c r="D10" s="161" t="s">
        <v>223</v>
      </c>
      <c r="E10" s="162" t="s">
        <v>131</v>
      </c>
      <c r="F10" s="161" t="s">
        <v>131</v>
      </c>
      <c r="G10" s="161" t="s">
        <v>131</v>
      </c>
      <c r="I10" s="203" t="s">
        <v>223</v>
      </c>
      <c r="J10" s="204" t="s">
        <v>131</v>
      </c>
      <c r="K10" s="205" t="s">
        <v>131</v>
      </c>
      <c r="L10" s="206" t="s">
        <v>131</v>
      </c>
      <c r="N10" s="203" t="s">
        <v>223</v>
      </c>
      <c r="O10" s="204" t="s">
        <v>131</v>
      </c>
      <c r="P10" s="205" t="s">
        <v>131</v>
      </c>
      <c r="Q10" s="206" t="s">
        <v>131</v>
      </c>
      <c r="S10" s="203" t="s">
        <v>223</v>
      </c>
      <c r="T10" s="204" t="s">
        <v>131</v>
      </c>
      <c r="U10" s="205" t="s">
        <v>131</v>
      </c>
      <c r="V10" s="225" t="s">
        <v>131</v>
      </c>
      <c r="W10" s="233" t="s">
        <v>297</v>
      </c>
    </row>
    <row r="11" spans="2:23" ht="12.75" customHeight="1" thickTop="1" x14ac:dyDescent="0.35">
      <c r="B11" s="3" t="s">
        <v>3</v>
      </c>
      <c r="G11" s="163"/>
      <c r="I11" s="210"/>
      <c r="J11" s="211"/>
      <c r="K11" s="211"/>
      <c r="L11" s="212"/>
      <c r="N11" s="210"/>
      <c r="O11" s="211"/>
      <c r="P11" s="211"/>
      <c r="Q11" s="212"/>
      <c r="S11" s="210"/>
      <c r="T11" s="211"/>
      <c r="U11" s="211"/>
      <c r="V11" s="226"/>
      <c r="W11" s="234"/>
    </row>
    <row r="12" spans="2:23" ht="12.75" customHeight="1" x14ac:dyDescent="0.35">
      <c r="B12" s="3" t="s">
        <v>4</v>
      </c>
      <c r="C12" s="164"/>
      <c r="D12" s="165">
        <v>45700</v>
      </c>
      <c r="E12" s="165">
        <v>36700</v>
      </c>
      <c r="F12" s="165">
        <v>36700</v>
      </c>
      <c r="G12" s="165">
        <f>'BASE - Pre CV-19'!O19</f>
        <v>23700</v>
      </c>
      <c r="I12" s="196">
        <f>D12</f>
        <v>45700</v>
      </c>
      <c r="J12" s="197">
        <f t="shared" ref="J12:L12" si="0">E12</f>
        <v>36700</v>
      </c>
      <c r="K12" s="197">
        <f t="shared" si="0"/>
        <v>36700</v>
      </c>
      <c r="L12" s="198">
        <f t="shared" si="0"/>
        <v>23700</v>
      </c>
      <c r="M12" s="138"/>
      <c r="N12" s="196">
        <f>D13</f>
        <v>33984</v>
      </c>
      <c r="O12" s="197">
        <f t="shared" ref="O12:Q12" si="1">E13</f>
        <v>27500</v>
      </c>
      <c r="P12" s="197">
        <f t="shared" si="1"/>
        <v>27500</v>
      </c>
      <c r="Q12" s="198">
        <f t="shared" si="1"/>
        <v>23700</v>
      </c>
      <c r="R12" s="138"/>
      <c r="S12" s="196">
        <f>N12-I12</f>
        <v>-11716</v>
      </c>
      <c r="T12" s="197">
        <f t="shared" ref="T12:V12" si="2">O12-J12</f>
        <v>-9200</v>
      </c>
      <c r="U12" s="197">
        <f t="shared" si="2"/>
        <v>-9200</v>
      </c>
      <c r="V12" s="227">
        <f t="shared" si="2"/>
        <v>0</v>
      </c>
      <c r="W12" s="234" t="s">
        <v>298</v>
      </c>
    </row>
    <row r="13" spans="2:23" ht="12.75" customHeight="1" x14ac:dyDescent="0.35">
      <c r="C13" s="166" t="s">
        <v>224</v>
      </c>
      <c r="D13" s="167">
        <v>33984</v>
      </c>
      <c r="E13" s="168">
        <v>27500</v>
      </c>
      <c r="F13" s="167">
        <v>27500</v>
      </c>
      <c r="G13" s="167">
        <f>G12</f>
        <v>23700</v>
      </c>
      <c r="I13" s="213"/>
      <c r="J13" s="214"/>
      <c r="K13" s="214"/>
      <c r="L13" s="215"/>
      <c r="N13" s="213"/>
      <c r="O13" s="214"/>
      <c r="P13" s="214"/>
      <c r="Q13" s="215"/>
      <c r="S13" s="213"/>
      <c r="T13" s="214"/>
      <c r="U13" s="214"/>
      <c r="V13" s="228"/>
      <c r="W13" s="234"/>
    </row>
    <row r="14" spans="2:23" ht="12.75" customHeight="1" x14ac:dyDescent="0.35">
      <c r="B14" s="3" t="s">
        <v>10</v>
      </c>
      <c r="D14" s="169"/>
      <c r="E14" s="170"/>
      <c r="F14" s="171"/>
      <c r="I14" s="210"/>
      <c r="J14" s="211"/>
      <c r="K14" s="211"/>
      <c r="L14" s="211"/>
      <c r="N14" s="210"/>
      <c r="O14" s="211"/>
      <c r="P14" s="211"/>
      <c r="Q14" s="211"/>
      <c r="S14" s="210"/>
      <c r="T14" s="211"/>
      <c r="U14" s="211"/>
      <c r="V14" s="226"/>
      <c r="W14" s="234"/>
    </row>
    <row r="15" spans="2:23" ht="12.75" customHeight="1" x14ac:dyDescent="0.35">
      <c r="B15" s="3" t="s">
        <v>11</v>
      </c>
      <c r="D15" s="165">
        <v>181992.66750000001</v>
      </c>
      <c r="E15" s="165">
        <v>191092.30087500002</v>
      </c>
      <c r="F15" s="165">
        <v>200646.91591875005</v>
      </c>
      <c r="G15" s="165">
        <f>'BASE - Pre CV-19'!O31</f>
        <v>210679.26171468751</v>
      </c>
      <c r="I15" s="196">
        <f>D15</f>
        <v>181992.66750000001</v>
      </c>
      <c r="J15" s="197">
        <f t="shared" ref="J15:L15" si="3">E15</f>
        <v>191092.30087500002</v>
      </c>
      <c r="K15" s="197">
        <f t="shared" si="3"/>
        <v>200646.91591875005</v>
      </c>
      <c r="L15" s="198">
        <f t="shared" si="3"/>
        <v>210679.26171468751</v>
      </c>
      <c r="M15" s="138"/>
      <c r="N15" s="196">
        <f>D16</f>
        <v>192659</v>
      </c>
      <c r="O15" s="197">
        <f t="shared" ref="O15:Q15" si="4">E16</f>
        <v>192109</v>
      </c>
      <c r="P15" s="197">
        <f t="shared" si="4"/>
        <v>201704</v>
      </c>
      <c r="Q15" s="198">
        <f t="shared" si="4"/>
        <v>210679.26171468751</v>
      </c>
      <c r="R15" s="138"/>
      <c r="S15" s="196">
        <f>N15-I15</f>
        <v>10666.33249999999</v>
      </c>
      <c r="T15" s="197">
        <f t="shared" ref="T15:V15" si="5">O15-J15</f>
        <v>1016.6991249999846</v>
      </c>
      <c r="U15" s="197">
        <f t="shared" si="5"/>
        <v>1057.0840812499519</v>
      </c>
      <c r="V15" s="227">
        <f t="shared" si="5"/>
        <v>0</v>
      </c>
      <c r="W15" s="234"/>
    </row>
    <row r="16" spans="2:23" ht="12.75" customHeight="1" x14ac:dyDescent="0.35">
      <c r="C16" s="166" t="s">
        <v>224</v>
      </c>
      <c r="D16" s="168">
        <v>192659</v>
      </c>
      <c r="E16" s="168">
        <v>192109</v>
      </c>
      <c r="F16" s="168">
        <v>201704</v>
      </c>
      <c r="G16" s="168">
        <f>G15</f>
        <v>210679.26171468751</v>
      </c>
      <c r="I16" s="216"/>
      <c r="J16" s="217"/>
      <c r="K16" s="217"/>
      <c r="L16" s="218"/>
      <c r="M16" s="138"/>
      <c r="N16" s="216"/>
      <c r="O16" s="217"/>
      <c r="P16" s="217"/>
      <c r="Q16" s="218"/>
      <c r="R16" s="138"/>
      <c r="S16" s="216"/>
      <c r="T16" s="217"/>
      <c r="U16" s="217"/>
      <c r="V16" s="229"/>
      <c r="W16" s="234"/>
    </row>
    <row r="17" spans="2:23" ht="12.75" customHeight="1" x14ac:dyDescent="0.35">
      <c r="B17" s="3" t="s">
        <v>19</v>
      </c>
      <c r="C17" s="164"/>
      <c r="D17" s="165">
        <v>274023.0999545455</v>
      </c>
      <c r="E17" s="165">
        <v>287724.25495227281</v>
      </c>
      <c r="F17" s="165">
        <v>302110.46769988647</v>
      </c>
      <c r="G17" s="165">
        <f>'BASE - Pre CV-19'!O39</f>
        <v>290842.64897795231</v>
      </c>
      <c r="H17" s="175"/>
      <c r="I17" s="196">
        <f>D17</f>
        <v>274023.0999545455</v>
      </c>
      <c r="J17" s="197">
        <f t="shared" ref="J17" si="6">E17</f>
        <v>287724.25495227281</v>
      </c>
      <c r="K17" s="197">
        <f t="shared" ref="K17" si="7">F17</f>
        <v>302110.46769988647</v>
      </c>
      <c r="L17" s="198">
        <f t="shared" ref="L17" si="8">G17</f>
        <v>290842.64897795231</v>
      </c>
      <c r="M17" s="138"/>
      <c r="N17" s="196">
        <f>D18</f>
        <v>258682</v>
      </c>
      <c r="O17" s="197">
        <f t="shared" ref="O17" si="9">E18</f>
        <v>284170</v>
      </c>
      <c r="P17" s="197">
        <f t="shared" ref="P17" si="10">F18</f>
        <v>292923.60000000003</v>
      </c>
      <c r="Q17" s="198">
        <f t="shared" ref="Q17" si="11">G18</f>
        <v>290842.64897795231</v>
      </c>
      <c r="R17" s="138"/>
      <c r="S17" s="196">
        <f>N17-I17</f>
        <v>-15341.099954545498</v>
      </c>
      <c r="T17" s="197">
        <f t="shared" ref="T17" si="12">O17-J17</f>
        <v>-3554.2549522728077</v>
      </c>
      <c r="U17" s="197">
        <f t="shared" ref="U17" si="13">P17-K17</f>
        <v>-9186.8676998864394</v>
      </c>
      <c r="V17" s="227">
        <f t="shared" ref="V17" si="14">Q17-L17</f>
        <v>0</v>
      </c>
      <c r="W17" s="234"/>
    </row>
    <row r="18" spans="2:23" ht="12.75" customHeight="1" x14ac:dyDescent="0.35">
      <c r="C18" s="166" t="s">
        <v>224</v>
      </c>
      <c r="D18" s="167">
        <v>258682</v>
      </c>
      <c r="E18" s="168">
        <v>284170</v>
      </c>
      <c r="F18" s="167">
        <f>(346*1.02)*830</f>
        <v>292923.60000000003</v>
      </c>
      <c r="G18" s="168">
        <f>G17</f>
        <v>290842.64897795231</v>
      </c>
      <c r="I18" s="213"/>
      <c r="J18" s="214"/>
      <c r="K18" s="214"/>
      <c r="L18" s="215"/>
      <c r="N18" s="213"/>
      <c r="O18" s="214"/>
      <c r="P18" s="214"/>
      <c r="Q18" s="215"/>
      <c r="S18" s="213"/>
      <c r="T18" s="214"/>
      <c r="U18" s="214"/>
      <c r="V18" s="228"/>
      <c r="W18" s="234"/>
    </row>
    <row r="19" spans="2:23" ht="12.75" customHeight="1" thickBot="1" x14ac:dyDescent="0.4">
      <c r="B19" s="6" t="s">
        <v>27</v>
      </c>
      <c r="C19" s="176"/>
      <c r="D19" s="165">
        <f>D17+D15</f>
        <v>456015.76745454548</v>
      </c>
      <c r="E19" s="165">
        <f>E17+E15</f>
        <v>478816.55582727282</v>
      </c>
      <c r="F19" s="165">
        <f>F17+F15</f>
        <v>502757.38361863652</v>
      </c>
      <c r="G19" s="165">
        <f>G17+G15</f>
        <v>501521.91069263982</v>
      </c>
      <c r="I19" s="196">
        <f>D19</f>
        <v>456015.76745454548</v>
      </c>
      <c r="J19" s="197">
        <f t="shared" ref="J19" si="15">E19</f>
        <v>478816.55582727282</v>
      </c>
      <c r="K19" s="197">
        <f t="shared" ref="K19" si="16">F19</f>
        <v>502757.38361863652</v>
      </c>
      <c r="L19" s="198">
        <f t="shared" ref="L19" si="17">G19</f>
        <v>501521.91069263982</v>
      </c>
      <c r="M19" s="138"/>
      <c r="N19" s="196">
        <f>D20</f>
        <v>451341</v>
      </c>
      <c r="O19" s="197">
        <f t="shared" ref="O19" si="18">E20</f>
        <v>476279</v>
      </c>
      <c r="P19" s="197">
        <f t="shared" ref="P19" si="19">F20</f>
        <v>494627.60000000003</v>
      </c>
      <c r="Q19" s="198">
        <f t="shared" ref="Q19" si="20">G20</f>
        <v>501521.91069263982</v>
      </c>
      <c r="R19" s="138"/>
      <c r="S19" s="196">
        <f>N19-I19</f>
        <v>-4674.7674545454793</v>
      </c>
      <c r="T19" s="197">
        <f t="shared" ref="T19" si="21">O19-J19</f>
        <v>-2537.5558272728231</v>
      </c>
      <c r="U19" s="197">
        <f t="shared" ref="U19" si="22">P19-K19</f>
        <v>-8129.7836186364875</v>
      </c>
      <c r="V19" s="227">
        <f t="shared" ref="V19" si="23">Q19-L19</f>
        <v>0</v>
      </c>
      <c r="W19" s="234"/>
    </row>
    <row r="20" spans="2:23" ht="12.75" customHeight="1" thickTop="1" x14ac:dyDescent="0.35">
      <c r="C20" s="166" t="s">
        <v>224</v>
      </c>
      <c r="D20" s="168">
        <f>D18+D16</f>
        <v>451341</v>
      </c>
      <c r="E20" s="168">
        <f>E18+E16</f>
        <v>476279</v>
      </c>
      <c r="F20" s="168">
        <f>F18+F16</f>
        <v>494627.60000000003</v>
      </c>
      <c r="G20" s="168">
        <f>G18+G16</f>
        <v>501521.91069263982</v>
      </c>
      <c r="I20" s="216"/>
      <c r="J20" s="217"/>
      <c r="K20" s="217"/>
      <c r="L20" s="218"/>
      <c r="M20" s="138"/>
      <c r="N20" s="216"/>
      <c r="O20" s="217"/>
      <c r="P20" s="217"/>
      <c r="Q20" s="218"/>
      <c r="R20" s="138"/>
      <c r="S20" s="216"/>
      <c r="T20" s="217"/>
      <c r="U20" s="217"/>
      <c r="V20" s="229"/>
      <c r="W20" s="234"/>
    </row>
    <row r="21" spans="2:23" ht="12.75" hidden="1" customHeight="1" x14ac:dyDescent="0.35">
      <c r="B21" s="1" t="s">
        <v>34</v>
      </c>
      <c r="C21" s="172"/>
      <c r="D21" s="173"/>
      <c r="E21" s="174"/>
      <c r="F21" s="173"/>
      <c r="I21" s="196"/>
      <c r="J21" s="197"/>
      <c r="K21" s="197"/>
      <c r="L21" s="198"/>
      <c r="M21" s="138"/>
      <c r="N21" s="196"/>
      <c r="O21" s="197"/>
      <c r="P21" s="197"/>
      <c r="Q21" s="198"/>
      <c r="R21" s="138"/>
      <c r="S21" s="196"/>
      <c r="T21" s="197"/>
      <c r="U21" s="197"/>
      <c r="V21" s="227"/>
      <c r="W21" s="234"/>
    </row>
    <row r="22" spans="2:23" ht="12.75" customHeight="1" x14ac:dyDescent="0.35">
      <c r="B22" s="3" t="s">
        <v>28</v>
      </c>
      <c r="C22" s="177"/>
      <c r="D22" s="165">
        <v>105480</v>
      </c>
      <c r="E22" s="165">
        <v>110754</v>
      </c>
      <c r="F22" s="165">
        <v>110754</v>
      </c>
      <c r="G22" s="165">
        <f>'BASE - Pre CV-19'!O50</f>
        <v>116291.7</v>
      </c>
      <c r="I22" s="196">
        <f>D22</f>
        <v>105480</v>
      </c>
      <c r="J22" s="197">
        <f t="shared" ref="J22" si="24">E22</f>
        <v>110754</v>
      </c>
      <c r="K22" s="197">
        <f t="shared" ref="K22" si="25">F22</f>
        <v>110754</v>
      </c>
      <c r="L22" s="198">
        <f t="shared" ref="L22" si="26">G22</f>
        <v>116291.7</v>
      </c>
      <c r="M22" s="138"/>
      <c r="N22" s="196">
        <f>D23</f>
        <v>112410</v>
      </c>
      <c r="O22" s="197">
        <f t="shared" ref="O22" si="27">E23</f>
        <v>114568</v>
      </c>
      <c r="P22" s="197">
        <f t="shared" ref="P22" si="28">F23</f>
        <v>120296</v>
      </c>
      <c r="Q22" s="198">
        <f t="shared" ref="Q22" si="29">G23</f>
        <v>116291.7</v>
      </c>
      <c r="R22" s="138"/>
      <c r="S22" s="196">
        <f>N22-I22</f>
        <v>6930</v>
      </c>
      <c r="T22" s="197">
        <f t="shared" ref="T22" si="30">O22-J22</f>
        <v>3814</v>
      </c>
      <c r="U22" s="197">
        <f t="shared" ref="U22" si="31">P22-K22</f>
        <v>9542</v>
      </c>
      <c r="V22" s="227">
        <f t="shared" ref="V22" si="32">Q22-L22</f>
        <v>0</v>
      </c>
      <c r="W22" s="234"/>
    </row>
    <row r="23" spans="2:23" ht="12.75" customHeight="1" x14ac:dyDescent="0.35">
      <c r="C23" s="166" t="s">
        <v>224</v>
      </c>
      <c r="D23" s="168">
        <v>112410</v>
      </c>
      <c r="E23" s="168">
        <v>114568</v>
      </c>
      <c r="F23" s="168">
        <v>120296</v>
      </c>
      <c r="G23" s="168">
        <f>G22</f>
        <v>116291.7</v>
      </c>
      <c r="I23" s="216"/>
      <c r="J23" s="217"/>
      <c r="K23" s="217"/>
      <c r="L23" s="218"/>
      <c r="M23" s="138"/>
      <c r="N23" s="216"/>
      <c r="O23" s="217"/>
      <c r="P23" s="217"/>
      <c r="Q23" s="218"/>
      <c r="R23" s="138"/>
      <c r="S23" s="216"/>
      <c r="T23" s="217"/>
      <c r="U23" s="217"/>
      <c r="V23" s="229"/>
      <c r="W23" s="234"/>
    </row>
    <row r="24" spans="2:23" ht="12.75" customHeight="1" thickBot="1" x14ac:dyDescent="0.4">
      <c r="B24" s="6" t="s">
        <v>36</v>
      </c>
      <c r="C24" s="178"/>
      <c r="D24" s="165">
        <f>D22+D19</f>
        <v>561495.76745454548</v>
      </c>
      <c r="E24" s="165">
        <f>E22+E19</f>
        <v>589570.55582727282</v>
      </c>
      <c r="F24" s="165">
        <f>F22+F19</f>
        <v>613511.38361863652</v>
      </c>
      <c r="G24" s="165">
        <f>G22+G19</f>
        <v>617813.61069263984</v>
      </c>
      <c r="I24" s="196">
        <f>D24</f>
        <v>561495.76745454548</v>
      </c>
      <c r="J24" s="197">
        <f t="shared" ref="J24" si="33">E24</f>
        <v>589570.55582727282</v>
      </c>
      <c r="K24" s="197">
        <f t="shared" ref="K24" si="34">F24</f>
        <v>613511.38361863652</v>
      </c>
      <c r="L24" s="198">
        <f t="shared" ref="L24" si="35">G24</f>
        <v>617813.61069263984</v>
      </c>
      <c r="M24" s="138"/>
      <c r="N24" s="196">
        <f>D25</f>
        <v>563751</v>
      </c>
      <c r="O24" s="197">
        <f t="shared" ref="O24" si="36">E25</f>
        <v>590847</v>
      </c>
      <c r="P24" s="197">
        <f t="shared" ref="P24" si="37">F25</f>
        <v>614923.60000000009</v>
      </c>
      <c r="Q24" s="198">
        <f t="shared" ref="Q24" si="38">G25</f>
        <v>617813.61069263984</v>
      </c>
      <c r="R24" s="138"/>
      <c r="S24" s="196">
        <f>N24-I24</f>
        <v>2255.2325454545207</v>
      </c>
      <c r="T24" s="197">
        <f t="shared" ref="T24" si="39">O24-J24</f>
        <v>1276.4441727271769</v>
      </c>
      <c r="U24" s="197">
        <f t="shared" ref="U24" si="40">P24-K24</f>
        <v>1412.2163813635707</v>
      </c>
      <c r="V24" s="227">
        <f t="shared" ref="V24" si="41">Q24-L24</f>
        <v>0</v>
      </c>
      <c r="W24" s="234" t="s">
        <v>299</v>
      </c>
    </row>
    <row r="25" spans="2:23" ht="12.75" customHeight="1" thickTop="1" x14ac:dyDescent="0.35">
      <c r="C25" s="166" t="s">
        <v>224</v>
      </c>
      <c r="D25" s="168">
        <f>D23+D20</f>
        <v>563751</v>
      </c>
      <c r="E25" s="168">
        <f>E23+E20</f>
        <v>590847</v>
      </c>
      <c r="F25" s="168">
        <f>F23+F20</f>
        <v>614923.60000000009</v>
      </c>
      <c r="G25" s="168">
        <f>G23+G20</f>
        <v>617813.61069263984</v>
      </c>
      <c r="I25" s="216"/>
      <c r="J25" s="217"/>
      <c r="K25" s="217"/>
      <c r="L25" s="218"/>
      <c r="M25" s="138"/>
      <c r="N25" s="216"/>
      <c r="O25" s="217"/>
      <c r="P25" s="217"/>
      <c r="Q25" s="218"/>
      <c r="R25" s="138"/>
      <c r="S25" s="216"/>
      <c r="T25" s="217"/>
      <c r="U25" s="217"/>
      <c r="V25" s="229"/>
      <c r="W25" s="234"/>
    </row>
    <row r="26" spans="2:23" ht="12.75" customHeight="1" x14ac:dyDescent="0.35">
      <c r="B26" s="3" t="s">
        <v>37</v>
      </c>
      <c r="D26" s="169"/>
      <c r="E26" s="170"/>
      <c r="F26" s="171"/>
      <c r="I26" s="222"/>
      <c r="J26" s="223"/>
      <c r="K26" s="223"/>
      <c r="L26" s="224"/>
      <c r="M26" s="138"/>
      <c r="N26" s="222"/>
      <c r="O26" s="223"/>
      <c r="P26" s="223"/>
      <c r="Q26" s="224"/>
      <c r="R26" s="138"/>
      <c r="S26" s="222"/>
      <c r="T26" s="223"/>
      <c r="U26" s="223"/>
      <c r="V26" s="231"/>
      <c r="W26" s="234"/>
    </row>
    <row r="27" spans="2:23" ht="12.75" customHeight="1" x14ac:dyDescent="0.35">
      <c r="B27" s="1" t="s">
        <v>38</v>
      </c>
      <c r="C27" s="172"/>
      <c r="D27" s="173">
        <v>6300</v>
      </c>
      <c r="E27" s="174">
        <v>7000</v>
      </c>
      <c r="F27" s="173">
        <v>7500</v>
      </c>
      <c r="G27" s="179"/>
      <c r="I27" s="219"/>
      <c r="J27" s="220"/>
      <c r="K27" s="220"/>
      <c r="L27" s="221"/>
      <c r="M27" s="138"/>
      <c r="N27" s="219"/>
      <c r="O27" s="220"/>
      <c r="P27" s="220"/>
      <c r="Q27" s="221"/>
      <c r="R27" s="138"/>
      <c r="S27" s="219"/>
      <c r="T27" s="220"/>
      <c r="U27" s="220"/>
      <c r="V27" s="230"/>
      <c r="W27" s="234"/>
    </row>
    <row r="28" spans="2:23" ht="12.75" customHeight="1" x14ac:dyDescent="0.35">
      <c r="B28" s="5" t="s">
        <v>41</v>
      </c>
      <c r="C28" s="177"/>
      <c r="D28" s="165">
        <v>6300</v>
      </c>
      <c r="E28" s="165">
        <v>7000</v>
      </c>
      <c r="F28" s="165">
        <v>7500</v>
      </c>
      <c r="G28" s="165">
        <f>'BASE - Pre CV-19'!O58</f>
        <v>7650</v>
      </c>
      <c r="I28" s="196">
        <f>D28</f>
        <v>6300</v>
      </c>
      <c r="J28" s="197">
        <f t="shared" ref="J28" si="42">E28</f>
        <v>7000</v>
      </c>
      <c r="K28" s="197">
        <f t="shared" ref="K28" si="43">F28</f>
        <v>7500</v>
      </c>
      <c r="L28" s="198">
        <f t="shared" ref="L28" si="44">G28</f>
        <v>7650</v>
      </c>
      <c r="M28" s="138"/>
      <c r="N28" s="196">
        <f>D29</f>
        <v>10856</v>
      </c>
      <c r="O28" s="197">
        <f t="shared" ref="O28" si="45">E29</f>
        <v>7000</v>
      </c>
      <c r="P28" s="197">
        <f t="shared" ref="P28" si="46">F29</f>
        <v>7500</v>
      </c>
      <c r="Q28" s="198">
        <f t="shared" ref="Q28" si="47">G29</f>
        <v>7650</v>
      </c>
      <c r="R28" s="138"/>
      <c r="S28" s="196">
        <f>N28-I28</f>
        <v>4556</v>
      </c>
      <c r="T28" s="197">
        <f t="shared" ref="T28" si="48">O28-J28</f>
        <v>0</v>
      </c>
      <c r="U28" s="197">
        <f t="shared" ref="U28" si="49">P28-K28</f>
        <v>0</v>
      </c>
      <c r="V28" s="227">
        <f t="shared" ref="V28" si="50">Q28-L28</f>
        <v>0</v>
      </c>
      <c r="W28" s="234"/>
    </row>
    <row r="29" spans="2:23" ht="12.75" customHeight="1" x14ac:dyDescent="0.35">
      <c r="C29" s="166" t="s">
        <v>224</v>
      </c>
      <c r="D29" s="168">
        <v>10856</v>
      </c>
      <c r="E29" s="168">
        <v>7000</v>
      </c>
      <c r="F29" s="168">
        <v>7500</v>
      </c>
      <c r="G29" s="168">
        <f>G28</f>
        <v>7650</v>
      </c>
      <c r="I29" s="216"/>
      <c r="J29" s="217"/>
      <c r="K29" s="217"/>
      <c r="L29" s="218"/>
      <c r="M29" s="138"/>
      <c r="N29" s="216"/>
      <c r="O29" s="217"/>
      <c r="P29" s="217"/>
      <c r="Q29" s="218"/>
      <c r="R29" s="138"/>
      <c r="S29" s="216"/>
      <c r="T29" s="217"/>
      <c r="U29" s="217"/>
      <c r="V29" s="229"/>
      <c r="W29" s="234"/>
    </row>
    <row r="30" spans="2:23" ht="12.75" customHeight="1" x14ac:dyDescent="0.35">
      <c r="B30" s="3" t="s">
        <v>42</v>
      </c>
      <c r="C30" s="180"/>
      <c r="D30" s="169"/>
      <c r="E30" s="170"/>
      <c r="F30" s="171"/>
      <c r="I30" s="222"/>
      <c r="J30" s="223"/>
      <c r="K30" s="223"/>
      <c r="L30" s="224"/>
      <c r="M30" s="138"/>
      <c r="N30" s="222"/>
      <c r="O30" s="223"/>
      <c r="P30" s="223"/>
      <c r="Q30" s="224"/>
      <c r="R30" s="138"/>
      <c r="S30" s="222"/>
      <c r="T30" s="223"/>
      <c r="U30" s="223"/>
      <c r="V30" s="231"/>
      <c r="W30" s="234"/>
    </row>
    <row r="31" spans="2:23" ht="12.75" customHeight="1" x14ac:dyDescent="0.35">
      <c r="B31" s="1" t="s">
        <v>44</v>
      </c>
      <c r="C31" s="177"/>
      <c r="D31" s="165">
        <v>34000</v>
      </c>
      <c r="E31" s="165">
        <v>35000</v>
      </c>
      <c r="F31" s="165">
        <v>36000</v>
      </c>
      <c r="G31" s="165">
        <f>'BASE - Pre CV-19'!O64</f>
        <v>38000</v>
      </c>
      <c r="I31" s="196">
        <f>D31</f>
        <v>34000</v>
      </c>
      <c r="J31" s="197">
        <f t="shared" ref="J31" si="51">E31</f>
        <v>35000</v>
      </c>
      <c r="K31" s="197">
        <f t="shared" ref="K31" si="52">F31</f>
        <v>36000</v>
      </c>
      <c r="L31" s="198">
        <f t="shared" ref="L31" si="53">G31</f>
        <v>38000</v>
      </c>
      <c r="M31" s="138"/>
      <c r="N31" s="196">
        <f>D32</f>
        <v>0</v>
      </c>
      <c r="O31" s="197">
        <f t="shared" ref="O31" si="54">E32</f>
        <v>35000</v>
      </c>
      <c r="P31" s="197">
        <f t="shared" ref="P31" si="55">F32</f>
        <v>36000</v>
      </c>
      <c r="Q31" s="198">
        <f t="shared" ref="Q31" si="56">G32</f>
        <v>38000</v>
      </c>
      <c r="R31" s="138"/>
      <c r="S31" s="196">
        <f>N31-I31</f>
        <v>-34000</v>
      </c>
      <c r="T31" s="197">
        <f t="shared" ref="T31" si="57">O31-J31</f>
        <v>0</v>
      </c>
      <c r="U31" s="197">
        <f t="shared" ref="U31" si="58">P31-K31</f>
        <v>0</v>
      </c>
      <c r="V31" s="227">
        <f t="shared" ref="V31" si="59">Q31-L31</f>
        <v>0</v>
      </c>
      <c r="W31" s="234"/>
    </row>
    <row r="32" spans="2:23" ht="12.75" customHeight="1" x14ac:dyDescent="0.35">
      <c r="B32" s="290"/>
      <c r="C32" s="166" t="s">
        <v>224</v>
      </c>
      <c r="D32" s="181">
        <v>0</v>
      </c>
      <c r="E32" s="181">
        <v>35000</v>
      </c>
      <c r="F32" s="181">
        <v>36000</v>
      </c>
      <c r="G32" s="168">
        <f>G31</f>
        <v>38000</v>
      </c>
      <c r="I32" s="216"/>
      <c r="J32" s="217"/>
      <c r="K32" s="217"/>
      <c r="L32" s="218"/>
      <c r="M32" s="138"/>
      <c r="N32" s="216"/>
      <c r="O32" s="217"/>
      <c r="P32" s="217"/>
      <c r="Q32" s="218"/>
      <c r="R32" s="138"/>
      <c r="S32" s="216"/>
      <c r="T32" s="217"/>
      <c r="U32" s="217"/>
      <c r="V32" s="229"/>
      <c r="W32" s="234"/>
    </row>
    <row r="33" spans="2:23" ht="12.75" customHeight="1" x14ac:dyDescent="0.35">
      <c r="B33" s="1" t="s">
        <v>47</v>
      </c>
      <c r="C33" s="177"/>
      <c r="D33" s="165">
        <v>97416.709999999992</v>
      </c>
      <c r="E33" s="165">
        <v>0</v>
      </c>
      <c r="F33" s="165">
        <v>103000</v>
      </c>
      <c r="G33" s="165">
        <f>'BASE - Pre CV-19'!O69</f>
        <v>0</v>
      </c>
      <c r="I33" s="196">
        <f>D33</f>
        <v>97416.709999999992</v>
      </c>
      <c r="J33" s="197">
        <f t="shared" ref="J33" si="60">E33</f>
        <v>0</v>
      </c>
      <c r="K33" s="197">
        <f t="shared" ref="K33" si="61">F33</f>
        <v>103000</v>
      </c>
      <c r="L33" s="198">
        <f t="shared" ref="L33" si="62">G33</f>
        <v>0</v>
      </c>
      <c r="M33" s="138"/>
      <c r="N33" s="196">
        <f>D34</f>
        <v>68880</v>
      </c>
      <c r="O33" s="197">
        <f t="shared" ref="O33" si="63">E34</f>
        <v>0</v>
      </c>
      <c r="P33" s="197">
        <f t="shared" ref="P33" si="64">F34</f>
        <v>103000</v>
      </c>
      <c r="Q33" s="198">
        <f t="shared" ref="Q33" si="65">G34</f>
        <v>0</v>
      </c>
      <c r="R33" s="138"/>
      <c r="S33" s="196">
        <f>N33-I33</f>
        <v>-28536.709999999992</v>
      </c>
      <c r="T33" s="197">
        <f t="shared" ref="T33" si="66">O33-J33</f>
        <v>0</v>
      </c>
      <c r="U33" s="197">
        <f t="shared" ref="U33" si="67">P33-K33</f>
        <v>0</v>
      </c>
      <c r="V33" s="227">
        <f t="shared" ref="V33" si="68">Q33-L33</f>
        <v>0</v>
      </c>
      <c r="W33" s="234"/>
    </row>
    <row r="34" spans="2:23" ht="12.75" customHeight="1" x14ac:dyDescent="0.35">
      <c r="B34" s="290"/>
      <c r="C34" s="166" t="s">
        <v>224</v>
      </c>
      <c r="D34" s="181">
        <v>68880</v>
      </c>
      <c r="E34" s="181"/>
      <c r="F34" s="181">
        <v>103000</v>
      </c>
      <c r="G34" s="168">
        <f>G33</f>
        <v>0</v>
      </c>
      <c r="I34" s="216"/>
      <c r="J34" s="217"/>
      <c r="K34" s="217"/>
      <c r="L34" s="218"/>
      <c r="M34" s="138"/>
      <c r="N34" s="216"/>
      <c r="O34" s="217"/>
      <c r="P34" s="217"/>
      <c r="Q34" s="218"/>
      <c r="R34" s="138"/>
      <c r="S34" s="216"/>
      <c r="T34" s="217"/>
      <c r="U34" s="217"/>
      <c r="V34" s="229"/>
      <c r="W34" s="234"/>
    </row>
    <row r="35" spans="2:23" ht="12.75" customHeight="1" x14ac:dyDescent="0.35">
      <c r="B35" s="1" t="s">
        <v>51</v>
      </c>
      <c r="C35" s="177"/>
      <c r="D35" s="165">
        <v>0</v>
      </c>
      <c r="E35" s="165">
        <v>127810.85</v>
      </c>
      <c r="F35" s="165"/>
      <c r="G35" s="165">
        <f>'BASE - Pre CV-19'!O74</f>
        <v>133576.39250000002</v>
      </c>
      <c r="I35" s="196">
        <f>D35</f>
        <v>0</v>
      </c>
      <c r="J35" s="197">
        <f t="shared" ref="J35" si="69">E35</f>
        <v>127810.85</v>
      </c>
      <c r="K35" s="197">
        <f t="shared" ref="K35" si="70">F35</f>
        <v>0</v>
      </c>
      <c r="L35" s="198">
        <f t="shared" ref="L35" si="71">G35</f>
        <v>133576.39250000002</v>
      </c>
      <c r="M35" s="138"/>
      <c r="N35" s="196">
        <f>D36</f>
        <v>0</v>
      </c>
      <c r="O35" s="197">
        <f t="shared" ref="O35" si="72">E36</f>
        <v>0</v>
      </c>
      <c r="P35" s="197">
        <f t="shared" ref="P35" si="73">F36</f>
        <v>127811</v>
      </c>
      <c r="Q35" s="198">
        <f t="shared" ref="Q35" si="74">G36</f>
        <v>133576.39250000002</v>
      </c>
      <c r="R35" s="138"/>
      <c r="S35" s="196">
        <f>N35-I35</f>
        <v>0</v>
      </c>
      <c r="T35" s="197">
        <f t="shared" ref="T35" si="75">O35-J35</f>
        <v>-127810.85</v>
      </c>
      <c r="U35" s="197">
        <f t="shared" ref="U35" si="76">P35-K35</f>
        <v>127811</v>
      </c>
      <c r="V35" s="227">
        <f t="shared" ref="V35" si="77">Q35-L35</f>
        <v>0</v>
      </c>
      <c r="W35" s="234" t="s">
        <v>317</v>
      </c>
    </row>
    <row r="36" spans="2:23" ht="12.75" customHeight="1" x14ac:dyDescent="0.35">
      <c r="B36" s="290"/>
      <c r="C36" s="166" t="s">
        <v>224</v>
      </c>
      <c r="D36" s="181">
        <v>0</v>
      </c>
      <c r="E36" s="181"/>
      <c r="F36" s="181">
        <v>127811</v>
      </c>
      <c r="G36" s="168">
        <f>G35</f>
        <v>133576.39250000002</v>
      </c>
      <c r="I36" s="216"/>
      <c r="J36" s="217"/>
      <c r="K36" s="217"/>
      <c r="L36" s="218"/>
      <c r="M36" s="138"/>
      <c r="N36" s="216"/>
      <c r="O36" s="217"/>
      <c r="P36" s="217"/>
      <c r="Q36" s="218"/>
      <c r="R36" s="138"/>
      <c r="S36" s="216"/>
      <c r="T36" s="217"/>
      <c r="U36" s="217"/>
      <c r="V36" s="229"/>
      <c r="W36" s="234"/>
    </row>
    <row r="37" spans="2:23" ht="12.75" customHeight="1" x14ac:dyDescent="0.35">
      <c r="B37" s="1" t="s">
        <v>55</v>
      </c>
      <c r="C37" s="177"/>
      <c r="D37" s="165">
        <v>0</v>
      </c>
      <c r="E37" s="165">
        <v>201960</v>
      </c>
      <c r="F37" s="165">
        <v>0</v>
      </c>
      <c r="G37" s="165">
        <f>'BASE - Pre CV-19'!O79</f>
        <v>208508.40000000002</v>
      </c>
      <c r="I37" s="196">
        <f>D37</f>
        <v>0</v>
      </c>
      <c r="J37" s="197">
        <f t="shared" ref="J37" si="78">E37</f>
        <v>201960</v>
      </c>
      <c r="K37" s="197">
        <f t="shared" ref="K37" si="79">F37</f>
        <v>0</v>
      </c>
      <c r="L37" s="198">
        <f t="shared" ref="L37" si="80">G37</f>
        <v>208508.40000000002</v>
      </c>
      <c r="M37" s="138"/>
      <c r="N37" s="196">
        <f>D38</f>
        <v>0</v>
      </c>
      <c r="O37" s="197">
        <f t="shared" ref="O37" si="81">E38</f>
        <v>201960</v>
      </c>
      <c r="P37" s="197">
        <f t="shared" ref="P37" si="82">F38</f>
        <v>0</v>
      </c>
      <c r="Q37" s="198">
        <f t="shared" ref="Q37" si="83">G38</f>
        <v>208508.40000000002</v>
      </c>
      <c r="R37" s="138"/>
      <c r="S37" s="196">
        <f>N37-I37</f>
        <v>0</v>
      </c>
      <c r="T37" s="197">
        <f t="shared" ref="T37" si="84">O37-J37</f>
        <v>0</v>
      </c>
      <c r="U37" s="197">
        <f t="shared" ref="U37" si="85">P37-K37</f>
        <v>0</v>
      </c>
      <c r="V37" s="227">
        <f t="shared" ref="V37" si="86">Q37-L37</f>
        <v>0</v>
      </c>
      <c r="W37" s="234"/>
    </row>
    <row r="38" spans="2:23" ht="12.75" customHeight="1" x14ac:dyDescent="0.35">
      <c r="B38" s="290"/>
      <c r="C38" s="166" t="s">
        <v>224</v>
      </c>
      <c r="D38" s="181"/>
      <c r="E38" s="181">
        <v>201960</v>
      </c>
      <c r="F38" s="181"/>
      <c r="G38" s="168">
        <f>G37</f>
        <v>208508.40000000002</v>
      </c>
      <c r="I38" s="216"/>
      <c r="J38" s="217"/>
      <c r="K38" s="217"/>
      <c r="L38" s="218"/>
      <c r="M38" s="138"/>
      <c r="N38" s="216"/>
      <c r="O38" s="217"/>
      <c r="P38" s="217"/>
      <c r="Q38" s="218"/>
      <c r="R38" s="138"/>
      <c r="S38" s="216"/>
      <c r="T38" s="217"/>
      <c r="U38" s="217"/>
      <c r="V38" s="229"/>
      <c r="W38" s="234"/>
    </row>
    <row r="39" spans="2:23" ht="12.75" customHeight="1" x14ac:dyDescent="0.35">
      <c r="B39" s="1" t="s">
        <v>59</v>
      </c>
      <c r="C39" s="177"/>
      <c r="D39" s="165">
        <v>135000</v>
      </c>
      <c r="E39" s="165">
        <v>0</v>
      </c>
      <c r="F39" s="165">
        <v>5000</v>
      </c>
      <c r="G39" s="165">
        <f>'BASE - Pre CV-19'!O84</f>
        <v>5000</v>
      </c>
      <c r="I39" s="196">
        <f>D39</f>
        <v>135000</v>
      </c>
      <c r="J39" s="197">
        <f t="shared" ref="J39" si="87">E39</f>
        <v>0</v>
      </c>
      <c r="K39" s="197">
        <f t="shared" ref="K39" si="88">F39</f>
        <v>5000</v>
      </c>
      <c r="L39" s="198">
        <f t="shared" ref="L39" si="89">G39</f>
        <v>5000</v>
      </c>
      <c r="M39" s="138"/>
      <c r="N39" s="196">
        <f>D40</f>
        <v>114827</v>
      </c>
      <c r="O39" s="197">
        <f t="shared" ref="O39" si="90">E40</f>
        <v>0</v>
      </c>
      <c r="P39" s="197">
        <f t="shared" ref="P39" si="91">F40</f>
        <v>5000</v>
      </c>
      <c r="Q39" s="198">
        <f t="shared" ref="Q39" si="92">G40</f>
        <v>5000</v>
      </c>
      <c r="R39" s="138"/>
      <c r="S39" s="196">
        <f>N39-I39</f>
        <v>-20173</v>
      </c>
      <c r="T39" s="197">
        <f t="shared" ref="T39" si="93">O39-J39</f>
        <v>0</v>
      </c>
      <c r="U39" s="197">
        <f t="shared" ref="U39" si="94">P39-K39</f>
        <v>0</v>
      </c>
      <c r="V39" s="227">
        <f t="shared" ref="V39" si="95">Q39-L39</f>
        <v>0</v>
      </c>
      <c r="W39" s="234"/>
    </row>
    <row r="40" spans="2:23" ht="12.75" customHeight="1" x14ac:dyDescent="0.35">
      <c r="B40" s="98"/>
      <c r="C40" s="166" t="s">
        <v>224</v>
      </c>
      <c r="D40" s="181">
        <v>114827</v>
      </c>
      <c r="E40" s="181"/>
      <c r="F40" s="181">
        <v>5000</v>
      </c>
      <c r="G40" s="168">
        <f>G39</f>
        <v>5000</v>
      </c>
      <c r="I40" s="196"/>
      <c r="J40" s="197"/>
      <c r="K40" s="197"/>
      <c r="L40" s="198"/>
      <c r="M40" s="138"/>
      <c r="N40" s="196"/>
      <c r="O40" s="197"/>
      <c r="P40" s="197"/>
      <c r="Q40" s="198"/>
      <c r="R40" s="138"/>
      <c r="S40" s="196"/>
      <c r="T40" s="197"/>
      <c r="U40" s="197"/>
      <c r="V40" s="227"/>
      <c r="W40" s="234"/>
    </row>
    <row r="41" spans="2:23" ht="12.75" customHeight="1" x14ac:dyDescent="0.35">
      <c r="C41" s="180"/>
      <c r="D41" s="169"/>
      <c r="E41" s="170"/>
      <c r="F41" s="171"/>
      <c r="I41" s="196"/>
      <c r="J41" s="197"/>
      <c r="K41" s="197"/>
      <c r="L41" s="198"/>
      <c r="M41" s="138"/>
      <c r="N41" s="196"/>
      <c r="O41" s="197"/>
      <c r="P41" s="197"/>
      <c r="Q41" s="198"/>
      <c r="R41" s="138"/>
      <c r="S41" s="196"/>
      <c r="T41" s="197"/>
      <c r="U41" s="197"/>
      <c r="V41" s="227"/>
      <c r="W41" s="234"/>
    </row>
    <row r="42" spans="2:23" ht="12.75" customHeight="1" thickBot="1" x14ac:dyDescent="0.4">
      <c r="B42" s="6" t="s">
        <v>62</v>
      </c>
      <c r="C42" s="178"/>
      <c r="D42" s="182">
        <f>D39+D37+D35+D33+D31</f>
        <v>266416.70999999996</v>
      </c>
      <c r="E42" s="182">
        <f>E39+E37+E35+E33+E31</f>
        <v>364770.85</v>
      </c>
      <c r="F42" s="182">
        <f>F39+F37+F35+F33+F31</f>
        <v>144000</v>
      </c>
      <c r="G42" s="165">
        <f>'BASE - Pre CV-19'!O86</f>
        <v>385084.79250000004</v>
      </c>
      <c r="I42" s="196">
        <f>D42</f>
        <v>266416.70999999996</v>
      </c>
      <c r="J42" s="197">
        <f t="shared" ref="J42" si="96">E42</f>
        <v>364770.85</v>
      </c>
      <c r="K42" s="197">
        <f t="shared" ref="K42" si="97">F42</f>
        <v>144000</v>
      </c>
      <c r="L42" s="198">
        <f t="shared" ref="L42" si="98">G42</f>
        <v>385084.79250000004</v>
      </c>
      <c r="M42" s="138"/>
      <c r="N42" s="196">
        <f>D43</f>
        <v>183707</v>
      </c>
      <c r="O42" s="197">
        <f t="shared" ref="O42" si="99">E43</f>
        <v>236960</v>
      </c>
      <c r="P42" s="197">
        <f t="shared" ref="P42" si="100">F43</f>
        <v>271811</v>
      </c>
      <c r="Q42" s="198">
        <f t="shared" ref="Q42" si="101">G43</f>
        <v>385084.79250000004</v>
      </c>
      <c r="R42" s="138"/>
      <c r="S42" s="196">
        <f>N42-I42</f>
        <v>-82709.709999999963</v>
      </c>
      <c r="T42" s="197">
        <f t="shared" ref="T42" si="102">O42-J42</f>
        <v>-127810.84999999998</v>
      </c>
      <c r="U42" s="197">
        <f t="shared" ref="U42" si="103">P42-K42</f>
        <v>127811</v>
      </c>
      <c r="V42" s="227">
        <f t="shared" ref="V42" si="104">Q42-L42</f>
        <v>0</v>
      </c>
      <c r="W42" s="234" t="s">
        <v>300</v>
      </c>
    </row>
    <row r="43" spans="2:23" ht="12.75" customHeight="1" thickTop="1" x14ac:dyDescent="0.35">
      <c r="B43" s="98"/>
      <c r="C43" s="166" t="s">
        <v>224</v>
      </c>
      <c r="D43" s="181">
        <f>D40+D38+D36+D34+D32</f>
        <v>183707</v>
      </c>
      <c r="E43" s="181">
        <f>E40+E38+E36+E34+E32</f>
        <v>236960</v>
      </c>
      <c r="F43" s="181">
        <f>F40+F38+F36+F34+F32</f>
        <v>271811</v>
      </c>
      <c r="G43" s="168">
        <f>G42</f>
        <v>385084.79250000004</v>
      </c>
      <c r="I43" s="216"/>
      <c r="J43" s="217"/>
      <c r="K43" s="217"/>
      <c r="L43" s="218"/>
      <c r="M43" s="138"/>
      <c r="N43" s="216"/>
      <c r="O43" s="217"/>
      <c r="P43" s="217"/>
      <c r="Q43" s="218"/>
      <c r="R43" s="138"/>
      <c r="S43" s="216"/>
      <c r="T43" s="217"/>
      <c r="U43" s="217"/>
      <c r="V43" s="229"/>
      <c r="W43" s="234"/>
    </row>
    <row r="44" spans="2:23" ht="12.75" customHeight="1" x14ac:dyDescent="0.35">
      <c r="C44" s="180"/>
      <c r="D44" s="169"/>
      <c r="E44" s="170"/>
      <c r="F44" s="171"/>
      <c r="I44" s="219"/>
      <c r="J44" s="220"/>
      <c r="K44" s="220"/>
      <c r="L44" s="221"/>
      <c r="M44" s="138"/>
      <c r="N44" s="219"/>
      <c r="O44" s="220"/>
      <c r="P44" s="220"/>
      <c r="Q44" s="221"/>
      <c r="R44" s="138"/>
      <c r="S44" s="219"/>
      <c r="T44" s="220"/>
      <c r="U44" s="220"/>
      <c r="V44" s="230"/>
      <c r="W44" s="234"/>
    </row>
    <row r="45" spans="2:23" ht="12.75" customHeight="1" thickBot="1" x14ac:dyDescent="0.4">
      <c r="B45" s="6" t="s">
        <v>63</v>
      </c>
      <c r="C45" s="178"/>
      <c r="D45" s="165">
        <f>D42+D28+D24+D12</f>
        <v>879912.47745454544</v>
      </c>
      <c r="E45" s="165">
        <f>E42+E28+E24+E12</f>
        <v>998041.4058272728</v>
      </c>
      <c r="F45" s="165">
        <f>F42+F28+F24+F12</f>
        <v>801711.38361863652</v>
      </c>
      <c r="G45" s="165">
        <f>'BASE - Pre CV-19'!O88</f>
        <v>1034248.4031926398</v>
      </c>
      <c r="H45" s="169"/>
      <c r="I45" s="196">
        <f>D45</f>
        <v>879912.47745454544</v>
      </c>
      <c r="J45" s="197">
        <f t="shared" ref="J45" si="105">E45</f>
        <v>998041.4058272728</v>
      </c>
      <c r="K45" s="197">
        <f t="shared" ref="K45" si="106">F45</f>
        <v>801711.38361863652</v>
      </c>
      <c r="L45" s="198">
        <f t="shared" ref="L45" si="107">G45</f>
        <v>1034248.4031926398</v>
      </c>
      <c r="M45" s="138"/>
      <c r="N45" s="196">
        <f>D46</f>
        <v>792298</v>
      </c>
      <c r="O45" s="197">
        <f t="shared" ref="O45" si="108">E46</f>
        <v>862307</v>
      </c>
      <c r="P45" s="197">
        <f t="shared" ref="P45" si="109">F46</f>
        <v>921734.60000000009</v>
      </c>
      <c r="Q45" s="198">
        <f t="shared" ref="Q45" si="110">G46</f>
        <v>1034248.4031926398</v>
      </c>
      <c r="R45" s="138"/>
      <c r="S45" s="196">
        <f>N45-I45</f>
        <v>-87614.477454545442</v>
      </c>
      <c r="T45" s="197">
        <f t="shared" ref="T45" si="111">O45-J45</f>
        <v>-135734.4058272728</v>
      </c>
      <c r="U45" s="197">
        <f t="shared" ref="U45" si="112">P45-K45</f>
        <v>120023.21638136357</v>
      </c>
      <c r="V45" s="227">
        <f t="shared" ref="V45" si="113">Q45-L45</f>
        <v>0</v>
      </c>
      <c r="W45" s="234"/>
    </row>
    <row r="46" spans="2:23" ht="12.75" customHeight="1" thickTop="1" x14ac:dyDescent="0.35">
      <c r="B46" s="98"/>
      <c r="C46" s="166" t="s">
        <v>224</v>
      </c>
      <c r="D46" s="181">
        <f>D43+D29+D25+D13</f>
        <v>792298</v>
      </c>
      <c r="E46" s="181">
        <f>E43+E29+E25+E13</f>
        <v>862307</v>
      </c>
      <c r="F46" s="181">
        <f>F43+F29+F25+F13</f>
        <v>921734.60000000009</v>
      </c>
      <c r="G46" s="168">
        <f>G43+G29+G25+G13</f>
        <v>1034248.4031926398</v>
      </c>
      <c r="I46" s="216"/>
      <c r="J46" s="217"/>
      <c r="K46" s="217"/>
      <c r="L46" s="218"/>
      <c r="M46" s="138"/>
      <c r="N46" s="216"/>
      <c r="O46" s="217"/>
      <c r="P46" s="217"/>
      <c r="Q46" s="218"/>
      <c r="R46" s="138"/>
      <c r="S46" s="216"/>
      <c r="T46" s="217"/>
      <c r="U46" s="217"/>
      <c r="V46" s="229"/>
      <c r="W46" s="234"/>
    </row>
    <row r="47" spans="2:23" ht="12.75" customHeight="1" x14ac:dyDescent="0.35">
      <c r="B47" s="98"/>
      <c r="C47" s="183"/>
      <c r="D47" s="184"/>
      <c r="E47" s="184"/>
      <c r="F47" s="182"/>
      <c r="I47" s="222"/>
      <c r="J47" s="223"/>
      <c r="K47" s="223"/>
      <c r="L47" s="224"/>
      <c r="M47" s="138"/>
      <c r="N47" s="222"/>
      <c r="O47" s="223"/>
      <c r="P47" s="223"/>
      <c r="Q47" s="224"/>
      <c r="R47" s="138"/>
      <c r="S47" s="222"/>
      <c r="T47" s="223"/>
      <c r="U47" s="223"/>
      <c r="V47" s="231"/>
      <c r="W47" s="234"/>
    </row>
    <row r="48" spans="2:23" ht="12.75" customHeight="1" x14ac:dyDescent="0.35">
      <c r="B48" s="3" t="s">
        <v>65</v>
      </c>
      <c r="D48" s="169"/>
      <c r="E48" s="170"/>
      <c r="F48" s="171"/>
      <c r="I48" s="222"/>
      <c r="J48" s="223"/>
      <c r="K48" s="223"/>
      <c r="L48" s="224"/>
      <c r="M48" s="138"/>
      <c r="N48" s="222"/>
      <c r="O48" s="223"/>
      <c r="P48" s="223"/>
      <c r="Q48" s="224"/>
      <c r="R48" s="138"/>
      <c r="S48" s="222"/>
      <c r="T48" s="223"/>
      <c r="U48" s="223"/>
      <c r="V48" s="231"/>
      <c r="W48" s="234"/>
    </row>
    <row r="49" spans="2:23" ht="12.75" customHeight="1" x14ac:dyDescent="0.35">
      <c r="B49" s="3"/>
      <c r="D49" s="169"/>
      <c r="E49" s="170"/>
      <c r="F49" s="171"/>
      <c r="I49" s="222"/>
      <c r="J49" s="223"/>
      <c r="K49" s="223"/>
      <c r="L49" s="224"/>
      <c r="M49" s="138"/>
      <c r="N49" s="222"/>
      <c r="O49" s="223"/>
      <c r="P49" s="223"/>
      <c r="Q49" s="224"/>
      <c r="R49" s="138"/>
      <c r="S49" s="222"/>
      <c r="T49" s="223"/>
      <c r="U49" s="223"/>
      <c r="V49" s="231"/>
      <c r="W49" s="234"/>
    </row>
    <row r="50" spans="2:23" ht="12.75" customHeight="1" x14ac:dyDescent="0.35">
      <c r="B50" t="s">
        <v>226</v>
      </c>
      <c r="D50" s="168">
        <v>97066</v>
      </c>
      <c r="E50" s="170"/>
      <c r="F50" s="171"/>
      <c r="I50" s="219"/>
      <c r="J50" s="220"/>
      <c r="K50" s="220"/>
      <c r="L50" s="221"/>
      <c r="M50" s="138"/>
      <c r="N50" s="219"/>
      <c r="O50" s="220"/>
      <c r="P50" s="220"/>
      <c r="Q50" s="221"/>
      <c r="R50" s="138"/>
      <c r="S50" s="219"/>
      <c r="T50" s="220"/>
      <c r="U50" s="220"/>
      <c r="V50" s="230"/>
      <c r="W50" s="234"/>
    </row>
    <row r="51" spans="2:23" ht="12.75" customHeight="1" x14ac:dyDescent="0.35">
      <c r="B51" s="3" t="s">
        <v>225</v>
      </c>
      <c r="D51" s="165">
        <v>66700</v>
      </c>
      <c r="E51" s="165">
        <v>65834</v>
      </c>
      <c r="F51" s="165">
        <v>68990</v>
      </c>
      <c r="G51" s="165">
        <f>'BASE - Pre CV-19'!O95+'BASE - Pre CV-19'!O96+'BASE - Pre CV-19'!O100</f>
        <v>66985.125599999999</v>
      </c>
      <c r="I51" s="196">
        <f>D51</f>
        <v>66700</v>
      </c>
      <c r="J51" s="197">
        <f t="shared" ref="J51" si="114">E51</f>
        <v>65834</v>
      </c>
      <c r="K51" s="197">
        <f t="shared" ref="K51" si="115">F51</f>
        <v>68990</v>
      </c>
      <c r="L51" s="198">
        <f t="shared" ref="L51" si="116">G51</f>
        <v>66985.125599999999</v>
      </c>
      <c r="M51" s="138"/>
      <c r="N51" s="196">
        <f>D52</f>
        <v>54993</v>
      </c>
      <c r="O51" s="197">
        <f t="shared" ref="O51" si="117">E52</f>
        <v>65834</v>
      </c>
      <c r="P51" s="197">
        <f t="shared" ref="P51" si="118">F52</f>
        <v>68990</v>
      </c>
      <c r="Q51" s="198">
        <f t="shared" ref="Q51" si="119">G52</f>
        <v>66985.125599999999</v>
      </c>
      <c r="R51" s="138"/>
      <c r="S51" s="196">
        <f>N51-I51</f>
        <v>-11707</v>
      </c>
      <c r="T51" s="197">
        <f t="shared" ref="T51" si="120">O51-J51</f>
        <v>0</v>
      </c>
      <c r="U51" s="197">
        <f t="shared" ref="U51" si="121">P51-K51</f>
        <v>0</v>
      </c>
      <c r="V51" s="227">
        <f t="shared" ref="V51" si="122">Q51-L51</f>
        <v>0</v>
      </c>
      <c r="W51" s="234"/>
    </row>
    <row r="52" spans="2:23" ht="12.75" customHeight="1" x14ac:dyDescent="0.35">
      <c r="B52" s="3"/>
      <c r="C52" s="166" t="s">
        <v>224</v>
      </c>
      <c r="D52" s="168">
        <v>54993</v>
      </c>
      <c r="E52" s="168">
        <v>65834</v>
      </c>
      <c r="F52" s="168">
        <v>68990</v>
      </c>
      <c r="G52" s="168">
        <f>G51</f>
        <v>66985.125599999999</v>
      </c>
      <c r="I52" s="216"/>
      <c r="J52" s="217"/>
      <c r="K52" s="217"/>
      <c r="L52" s="218"/>
      <c r="M52" s="138"/>
      <c r="N52" s="216"/>
      <c r="O52" s="217"/>
      <c r="P52" s="217"/>
      <c r="Q52" s="218"/>
      <c r="R52" s="138"/>
      <c r="S52" s="216"/>
      <c r="T52" s="217"/>
      <c r="U52" s="217"/>
      <c r="V52" s="229"/>
      <c r="W52" s="234"/>
    </row>
    <row r="53" spans="2:23" ht="12.75" customHeight="1" x14ac:dyDescent="0.35">
      <c r="B53" s="3" t="s">
        <v>73</v>
      </c>
      <c r="C53" s="185"/>
      <c r="D53" s="165">
        <v>35391.565799999997</v>
      </c>
      <c r="E53" s="165">
        <v>36821.734484000001</v>
      </c>
      <c r="F53" s="165">
        <v>38329.059794319997</v>
      </c>
      <c r="G53" s="165">
        <f>'BASE - Pre CV-19'!O115</f>
        <v>40606.326298433603</v>
      </c>
      <c r="I53" s="196">
        <f>D53</f>
        <v>35391.565799999997</v>
      </c>
      <c r="J53" s="197">
        <f t="shared" ref="J53" si="123">E53</f>
        <v>36821.734484000001</v>
      </c>
      <c r="K53" s="197">
        <f t="shared" ref="K53" si="124">F53</f>
        <v>38329.059794319997</v>
      </c>
      <c r="L53" s="198">
        <f t="shared" ref="L53" si="125">G53</f>
        <v>40606.326298433603</v>
      </c>
      <c r="M53" s="138"/>
      <c r="N53" s="196">
        <f>D54</f>
        <v>34069</v>
      </c>
      <c r="O53" s="197">
        <f t="shared" ref="O53" si="126">E54</f>
        <v>40797</v>
      </c>
      <c r="P53" s="197">
        <f t="shared" ref="P53" si="127">F54</f>
        <v>38330</v>
      </c>
      <c r="Q53" s="198">
        <f t="shared" ref="Q53" si="128">G54</f>
        <v>40606.326298433603</v>
      </c>
      <c r="R53" s="138"/>
      <c r="S53" s="196">
        <f>N53-I53</f>
        <v>-1322.5657999999967</v>
      </c>
      <c r="T53" s="197">
        <f t="shared" ref="T53" si="129">O53-J53</f>
        <v>3975.2655159999995</v>
      </c>
      <c r="U53" s="197">
        <f t="shared" ref="U53" si="130">P53-K53</f>
        <v>0.94020568000269122</v>
      </c>
      <c r="V53" s="227">
        <f t="shared" ref="V53" si="131">Q53-L53</f>
        <v>0</v>
      </c>
      <c r="W53" s="234"/>
    </row>
    <row r="54" spans="2:23" ht="12.75" customHeight="1" x14ac:dyDescent="0.35">
      <c r="B54" s="98"/>
      <c r="C54" s="166" t="s">
        <v>224</v>
      </c>
      <c r="D54" s="181">
        <v>34069</v>
      </c>
      <c r="E54" s="181">
        <v>40797</v>
      </c>
      <c r="F54" s="181">
        <v>38330</v>
      </c>
      <c r="G54" s="168">
        <f>G53</f>
        <v>40606.326298433603</v>
      </c>
      <c r="I54" s="216"/>
      <c r="J54" s="217"/>
      <c r="K54" s="217"/>
      <c r="L54" s="218"/>
      <c r="M54" s="138"/>
      <c r="N54" s="216"/>
      <c r="O54" s="217"/>
      <c r="P54" s="217"/>
      <c r="Q54" s="218"/>
      <c r="R54" s="138"/>
      <c r="S54" s="216"/>
      <c r="T54" s="217"/>
      <c r="U54" s="217"/>
      <c r="V54" s="229"/>
      <c r="W54" s="234"/>
    </row>
    <row r="55" spans="2:23" ht="12.75" customHeight="1" x14ac:dyDescent="0.35">
      <c r="B55" s="3" t="s">
        <v>85</v>
      </c>
      <c r="C55" s="185"/>
      <c r="D55" s="165">
        <v>293552</v>
      </c>
      <c r="E55" s="165">
        <v>302669.54000000004</v>
      </c>
      <c r="F55" s="165">
        <v>311786.00579999998</v>
      </c>
      <c r="G55" s="165">
        <f>'BASE - Pre CV-19'!O129</f>
        <v>321185.30402600003</v>
      </c>
      <c r="I55" s="196">
        <f>D55</f>
        <v>293552</v>
      </c>
      <c r="J55" s="197">
        <f t="shared" ref="J55" si="132">E55</f>
        <v>302669.54000000004</v>
      </c>
      <c r="K55" s="197">
        <f t="shared" ref="K55" si="133">F55</f>
        <v>311786.00579999998</v>
      </c>
      <c r="L55" s="198">
        <f t="shared" ref="L55" si="134">G55</f>
        <v>321185.30402600003</v>
      </c>
      <c r="M55" s="138"/>
      <c r="N55" s="196">
        <f>D56</f>
        <v>257938</v>
      </c>
      <c r="O55" s="197">
        <f t="shared" ref="O55" si="135">E56</f>
        <v>302670</v>
      </c>
      <c r="P55" s="197">
        <f t="shared" ref="P55" si="136">F56</f>
        <v>311786</v>
      </c>
      <c r="Q55" s="198">
        <f t="shared" ref="Q55" si="137">G56</f>
        <v>321185.30402600003</v>
      </c>
      <c r="R55" s="138"/>
      <c r="S55" s="196">
        <f>N55-I55</f>
        <v>-35614</v>
      </c>
      <c r="T55" s="197">
        <f t="shared" ref="T55" si="138">O55-J55</f>
        <v>0.4599999999627471</v>
      </c>
      <c r="U55" s="197">
        <f t="shared" ref="U55" si="139">P55-K55</f>
        <v>-5.799999984446913E-3</v>
      </c>
      <c r="V55" s="227">
        <f t="shared" ref="V55" si="140">Q55-L55</f>
        <v>0</v>
      </c>
      <c r="W55" s="234"/>
    </row>
    <row r="56" spans="2:23" ht="12.75" customHeight="1" x14ac:dyDescent="0.35">
      <c r="B56" s="98"/>
      <c r="C56" s="166" t="s">
        <v>224</v>
      </c>
      <c r="D56" s="181">
        <v>257938</v>
      </c>
      <c r="E56" s="181">
        <v>302670</v>
      </c>
      <c r="F56" s="181">
        <v>311786</v>
      </c>
      <c r="G56" s="168">
        <f>G55</f>
        <v>321185.30402600003</v>
      </c>
      <c r="I56" s="216"/>
      <c r="J56" s="217"/>
      <c r="K56" s="217"/>
      <c r="L56" s="218"/>
      <c r="M56" s="138"/>
      <c r="N56" s="216"/>
      <c r="O56" s="217"/>
      <c r="P56" s="217"/>
      <c r="Q56" s="218"/>
      <c r="R56" s="138"/>
      <c r="S56" s="216"/>
      <c r="T56" s="217"/>
      <c r="U56" s="217"/>
      <c r="V56" s="229"/>
      <c r="W56" s="234"/>
    </row>
    <row r="57" spans="2:23" ht="12.75" customHeight="1" x14ac:dyDescent="0.35">
      <c r="B57" s="3" t="s">
        <v>98</v>
      </c>
      <c r="C57" s="185"/>
      <c r="D57" s="165">
        <v>94932</v>
      </c>
      <c r="E57" s="165">
        <v>99678.6</v>
      </c>
      <c r="F57" s="165">
        <v>99678.6</v>
      </c>
      <c r="G57" s="165">
        <f>'BASE - Pre CV-19'!O136</f>
        <v>104662.53</v>
      </c>
      <c r="I57" s="196">
        <f>D57</f>
        <v>94932</v>
      </c>
      <c r="J57" s="197">
        <f t="shared" ref="J57" si="141">E57</f>
        <v>99678.6</v>
      </c>
      <c r="K57" s="197">
        <f t="shared" ref="K57" si="142">F57</f>
        <v>99678.6</v>
      </c>
      <c r="L57" s="198">
        <f t="shared" ref="L57" si="143">G57</f>
        <v>104662.53</v>
      </c>
      <c r="M57" s="138"/>
      <c r="N57" s="196">
        <f>D58</f>
        <v>100854</v>
      </c>
      <c r="O57" s="197">
        <f t="shared" ref="O57" si="144">E58</f>
        <v>99678</v>
      </c>
      <c r="P57" s="197">
        <f t="shared" ref="P57" si="145">F58</f>
        <v>99678</v>
      </c>
      <c r="Q57" s="198">
        <f t="shared" ref="Q57" si="146">G58</f>
        <v>104662.53</v>
      </c>
      <c r="R57" s="138"/>
      <c r="S57" s="196">
        <f>N57-I57</f>
        <v>5922</v>
      </c>
      <c r="T57" s="197">
        <f t="shared" ref="T57" si="147">O57-J57</f>
        <v>-0.60000000000582077</v>
      </c>
      <c r="U57" s="197">
        <f t="shared" ref="U57" si="148">P57-K57</f>
        <v>-0.60000000000582077</v>
      </c>
      <c r="V57" s="227">
        <f t="shared" ref="V57" si="149">Q57-L57</f>
        <v>0</v>
      </c>
      <c r="W57" s="234"/>
    </row>
    <row r="58" spans="2:23" ht="12.75" customHeight="1" x14ac:dyDescent="0.35">
      <c r="C58" s="166" t="s">
        <v>224</v>
      </c>
      <c r="D58" s="186">
        <v>100854</v>
      </c>
      <c r="E58" s="186">
        <v>99678</v>
      </c>
      <c r="F58" s="186">
        <v>99678</v>
      </c>
      <c r="G58" s="168">
        <f>G57</f>
        <v>104662.53</v>
      </c>
      <c r="I58" s="196"/>
      <c r="J58" s="197"/>
      <c r="K58" s="197"/>
      <c r="L58" s="198"/>
      <c r="M58" s="138"/>
      <c r="N58" s="196"/>
      <c r="O58" s="197"/>
      <c r="P58" s="197"/>
      <c r="Q58" s="198"/>
      <c r="R58" s="138"/>
      <c r="S58" s="196"/>
      <c r="T58" s="197"/>
      <c r="U58" s="197"/>
      <c r="V58" s="227"/>
      <c r="W58" s="234"/>
    </row>
    <row r="59" spans="2:23" ht="38.25" customHeight="1" x14ac:dyDescent="0.35">
      <c r="B59" s="3" t="s">
        <v>102</v>
      </c>
      <c r="C59" s="177"/>
      <c r="D59" s="165">
        <v>154690</v>
      </c>
      <c r="E59" s="165">
        <v>223723.99</v>
      </c>
      <c r="F59" s="165">
        <v>161081.476</v>
      </c>
      <c r="G59" s="165">
        <f>'BASE - Pre CV-19'!O145</f>
        <v>229500</v>
      </c>
      <c r="I59" s="196">
        <f>D59</f>
        <v>154690</v>
      </c>
      <c r="J59" s="197">
        <f t="shared" ref="J59" si="150">E59</f>
        <v>223723.99</v>
      </c>
      <c r="K59" s="197">
        <f t="shared" ref="K59" si="151">F59</f>
        <v>161081.476</v>
      </c>
      <c r="L59" s="198">
        <f t="shared" ref="L59" si="152">G59</f>
        <v>229500</v>
      </c>
      <c r="M59" s="138"/>
      <c r="N59" s="196">
        <f>D60</f>
        <v>97645</v>
      </c>
      <c r="O59" s="197">
        <f t="shared" ref="O59" si="153">E60</f>
        <v>0</v>
      </c>
      <c r="P59" s="197">
        <f t="shared" ref="P59" si="154">F60</f>
        <v>150000</v>
      </c>
      <c r="Q59" s="198">
        <f t="shared" ref="Q59" si="155">G60</f>
        <v>150000</v>
      </c>
      <c r="R59" s="138"/>
      <c r="S59" s="196">
        <f>N59-I59</f>
        <v>-57045</v>
      </c>
      <c r="T59" s="197">
        <f t="shared" ref="T59" si="156">O59-J59</f>
        <v>-223723.99</v>
      </c>
      <c r="U59" s="197">
        <f t="shared" ref="U59" si="157">P59-K59</f>
        <v>-11081.475999999995</v>
      </c>
      <c r="V59" s="227">
        <f t="shared" ref="V59" si="158">Q59-L59</f>
        <v>-79500</v>
      </c>
      <c r="W59" s="237" t="s">
        <v>318</v>
      </c>
    </row>
    <row r="60" spans="2:23" ht="12.75" customHeight="1" x14ac:dyDescent="0.35">
      <c r="B60" s="98"/>
      <c r="C60" s="166" t="s">
        <v>224</v>
      </c>
      <c r="D60" s="181">
        <v>97645</v>
      </c>
      <c r="E60" s="181">
        <v>0</v>
      </c>
      <c r="F60" s="181">
        <v>150000</v>
      </c>
      <c r="G60" s="168">
        <v>150000</v>
      </c>
      <c r="I60" s="216"/>
      <c r="J60" s="217"/>
      <c r="K60" s="217"/>
      <c r="L60" s="218"/>
      <c r="M60" s="138"/>
      <c r="N60" s="216"/>
      <c r="O60" s="217"/>
      <c r="P60" s="217"/>
      <c r="Q60" s="218"/>
      <c r="R60" s="138"/>
      <c r="S60" s="216"/>
      <c r="T60" s="217"/>
      <c r="U60" s="217"/>
      <c r="V60" s="229"/>
      <c r="W60" s="234"/>
    </row>
    <row r="61" spans="2:23" ht="12.75" customHeight="1" x14ac:dyDescent="0.35">
      <c r="B61" s="3" t="s">
        <v>110</v>
      </c>
      <c r="C61" s="180"/>
      <c r="D61" s="169">
        <v>121500</v>
      </c>
      <c r="E61" s="170">
        <v>4500</v>
      </c>
      <c r="F61" s="171"/>
      <c r="H61" s="149" t="s">
        <v>268</v>
      </c>
      <c r="I61" s="222"/>
      <c r="J61" s="223"/>
      <c r="K61" s="223"/>
      <c r="L61" s="224"/>
      <c r="M61" s="138"/>
      <c r="N61" s="222"/>
      <c r="O61" s="223"/>
      <c r="P61" s="223"/>
      <c r="Q61" s="224"/>
      <c r="R61" s="138"/>
      <c r="S61" s="222"/>
      <c r="T61" s="223"/>
      <c r="U61" s="223"/>
      <c r="V61" s="231"/>
      <c r="W61" s="234"/>
    </row>
    <row r="62" spans="2:23" ht="12.75" customHeight="1" x14ac:dyDescent="0.35">
      <c r="C62" s="180"/>
      <c r="D62" s="169"/>
      <c r="E62" s="170"/>
      <c r="F62" s="171"/>
      <c r="I62" s="222"/>
      <c r="J62" s="223"/>
      <c r="K62" s="223"/>
      <c r="L62" s="224"/>
      <c r="M62" s="138"/>
      <c r="N62" s="222"/>
      <c r="O62" s="223"/>
      <c r="P62" s="223"/>
      <c r="Q62" s="224"/>
      <c r="R62" s="138"/>
      <c r="S62" s="222"/>
      <c r="T62" s="223"/>
      <c r="U62" s="223"/>
      <c r="V62" s="231"/>
      <c r="W62" s="234"/>
    </row>
    <row r="63" spans="2:23" ht="12.75" customHeight="1" x14ac:dyDescent="0.35">
      <c r="B63" s="3" t="s">
        <v>113</v>
      </c>
      <c r="C63" s="177"/>
      <c r="D63" s="165">
        <v>83000</v>
      </c>
      <c r="E63" s="165">
        <v>0</v>
      </c>
      <c r="F63" s="165">
        <v>87150</v>
      </c>
      <c r="G63" s="165">
        <f>'BASE - Pre CV-19'!O155</f>
        <v>0</v>
      </c>
      <c r="I63" s="196">
        <f>D63</f>
        <v>83000</v>
      </c>
      <c r="J63" s="197">
        <f t="shared" ref="J63" si="159">E63</f>
        <v>0</v>
      </c>
      <c r="K63" s="197">
        <f t="shared" ref="K63" si="160">F63</f>
        <v>87150</v>
      </c>
      <c r="L63" s="198">
        <f t="shared" ref="L63" si="161">G63</f>
        <v>0</v>
      </c>
      <c r="M63" s="138"/>
      <c r="N63" s="196">
        <f>D64</f>
        <v>80453</v>
      </c>
      <c r="O63" s="197">
        <f t="shared" ref="O63" si="162">E64</f>
        <v>0</v>
      </c>
      <c r="P63" s="197">
        <f t="shared" ref="P63" si="163">F64</f>
        <v>87150</v>
      </c>
      <c r="Q63" s="198">
        <f t="shared" ref="Q63" si="164">G64</f>
        <v>0</v>
      </c>
      <c r="R63" s="138"/>
      <c r="S63" s="196">
        <f>N63-I63</f>
        <v>-2547</v>
      </c>
      <c r="T63" s="197">
        <f t="shared" ref="T63" si="165">O63-J63</f>
        <v>0</v>
      </c>
      <c r="U63" s="197">
        <f t="shared" ref="U63" si="166">P63-K63</f>
        <v>0</v>
      </c>
      <c r="V63" s="227">
        <f t="shared" ref="V63" si="167">Q63-L63</f>
        <v>0</v>
      </c>
      <c r="W63" s="234"/>
    </row>
    <row r="64" spans="2:23" ht="12.75" customHeight="1" x14ac:dyDescent="0.35">
      <c r="C64" s="166" t="s">
        <v>224</v>
      </c>
      <c r="D64" s="168">
        <v>80453</v>
      </c>
      <c r="E64" s="168"/>
      <c r="F64" s="168">
        <v>87150</v>
      </c>
      <c r="G64" s="168">
        <f>G63</f>
        <v>0</v>
      </c>
      <c r="I64" s="216"/>
      <c r="J64" s="217"/>
      <c r="K64" s="217"/>
      <c r="L64" s="218"/>
      <c r="M64" s="138"/>
      <c r="N64" s="216"/>
      <c r="O64" s="217"/>
      <c r="P64" s="217"/>
      <c r="Q64" s="218"/>
      <c r="R64" s="138"/>
      <c r="S64" s="216"/>
      <c r="T64" s="217"/>
      <c r="U64" s="217"/>
      <c r="V64" s="229"/>
      <c r="W64" s="234"/>
    </row>
    <row r="65" spans="2:23" ht="12.75" customHeight="1" x14ac:dyDescent="0.35">
      <c r="B65" s="3" t="s">
        <v>115</v>
      </c>
      <c r="C65" s="177"/>
      <c r="D65" s="165">
        <v>0</v>
      </c>
      <c r="E65" s="165">
        <v>86111.3</v>
      </c>
      <c r="F65" s="165">
        <v>0</v>
      </c>
      <c r="G65" s="165">
        <f>'BASE - Pre CV-19'!O161</f>
        <v>86442.010000000009</v>
      </c>
      <c r="I65" s="196">
        <f>D65</f>
        <v>0</v>
      </c>
      <c r="J65" s="197">
        <f t="shared" ref="J65" si="168">E65</f>
        <v>86111.3</v>
      </c>
      <c r="K65" s="197">
        <f t="shared" ref="K65" si="169">F65</f>
        <v>0</v>
      </c>
      <c r="L65" s="198">
        <f t="shared" ref="L65" si="170">G65</f>
        <v>86442.010000000009</v>
      </c>
      <c r="M65" s="138"/>
      <c r="N65" s="196">
        <f>D66</f>
        <v>0</v>
      </c>
      <c r="O65" s="197">
        <f t="shared" ref="O65" si="171">E66</f>
        <v>0</v>
      </c>
      <c r="P65" s="197">
        <f t="shared" ref="P65" si="172">F66</f>
        <v>86111</v>
      </c>
      <c r="Q65" s="198">
        <f t="shared" ref="Q65" si="173">G66</f>
        <v>86442.010000000009</v>
      </c>
      <c r="R65" s="138"/>
      <c r="S65" s="196">
        <f>N65-I65</f>
        <v>0</v>
      </c>
      <c r="T65" s="197">
        <f t="shared" ref="T65" si="174">O65-J65</f>
        <v>-86111.3</v>
      </c>
      <c r="U65" s="197">
        <f t="shared" ref="U65" si="175">P65-K65</f>
        <v>86111</v>
      </c>
      <c r="V65" s="227">
        <f t="shared" ref="V65" si="176">Q65-L65</f>
        <v>0</v>
      </c>
      <c r="W65" s="234"/>
    </row>
    <row r="66" spans="2:23" ht="12.75" customHeight="1" x14ac:dyDescent="0.35">
      <c r="C66" s="166" t="s">
        <v>224</v>
      </c>
      <c r="D66" s="168"/>
      <c r="E66" s="168">
        <v>0</v>
      </c>
      <c r="F66" s="168">
        <v>86111</v>
      </c>
      <c r="G66" s="168">
        <f>G65</f>
        <v>86442.010000000009</v>
      </c>
      <c r="H66" s="149" t="s">
        <v>293</v>
      </c>
      <c r="I66" s="216"/>
      <c r="J66" s="217"/>
      <c r="K66" s="217"/>
      <c r="L66" s="218"/>
      <c r="M66" s="138"/>
      <c r="N66" s="216"/>
      <c r="O66" s="217"/>
      <c r="P66" s="217"/>
      <c r="Q66" s="218"/>
      <c r="R66" s="138"/>
      <c r="S66" s="216"/>
      <c r="T66" s="217"/>
      <c r="U66" s="217"/>
      <c r="V66" s="229"/>
      <c r="W66" s="234"/>
    </row>
    <row r="67" spans="2:23" ht="12.75" customHeight="1" x14ac:dyDescent="0.35">
      <c r="B67" s="3" t="s">
        <v>120</v>
      </c>
      <c r="C67" s="177"/>
      <c r="D67" s="165">
        <v>0</v>
      </c>
      <c r="E67" s="165">
        <v>140700</v>
      </c>
      <c r="F67" s="165">
        <v>0</v>
      </c>
      <c r="G67" s="165">
        <f>'BASE - Pre CV-19'!O165</f>
        <v>147735</v>
      </c>
      <c r="I67" s="196">
        <f>D67</f>
        <v>0</v>
      </c>
      <c r="J67" s="197">
        <f t="shared" ref="J67" si="177">E67</f>
        <v>140700</v>
      </c>
      <c r="K67" s="197">
        <f t="shared" ref="K67" si="178">F67</f>
        <v>0</v>
      </c>
      <c r="L67" s="198">
        <f t="shared" ref="L67" si="179">G67</f>
        <v>147735</v>
      </c>
      <c r="M67" s="138"/>
      <c r="N67" s="196">
        <f>D68</f>
        <v>0</v>
      </c>
      <c r="O67" s="197">
        <f t="shared" ref="O67" si="180">E68</f>
        <v>140700</v>
      </c>
      <c r="P67" s="197">
        <f t="shared" ref="P67" si="181">F68</f>
        <v>0</v>
      </c>
      <c r="Q67" s="198">
        <f t="shared" ref="Q67" si="182">G68</f>
        <v>147735</v>
      </c>
      <c r="R67" s="138"/>
      <c r="S67" s="196">
        <f>N67-I67</f>
        <v>0</v>
      </c>
      <c r="T67" s="197">
        <f t="shared" ref="T67" si="183">O67-J67</f>
        <v>0</v>
      </c>
      <c r="U67" s="197">
        <f t="shared" ref="U67" si="184">P67-K67</f>
        <v>0</v>
      </c>
      <c r="V67" s="227">
        <f t="shared" ref="V67" si="185">Q67-L67</f>
        <v>0</v>
      </c>
      <c r="W67" s="234"/>
    </row>
    <row r="68" spans="2:23" ht="12.75" customHeight="1" x14ac:dyDescent="0.35">
      <c r="C68" s="166" t="s">
        <v>224</v>
      </c>
      <c r="D68" s="168"/>
      <c r="E68" s="168">
        <v>140700</v>
      </c>
      <c r="F68" s="168"/>
      <c r="G68" s="168">
        <f>G67</f>
        <v>147735</v>
      </c>
      <c r="I68" s="216"/>
      <c r="J68" s="217"/>
      <c r="K68" s="217"/>
      <c r="L68" s="218"/>
      <c r="M68" s="138"/>
      <c r="N68" s="216"/>
      <c r="O68" s="217"/>
      <c r="P68" s="217"/>
      <c r="Q68" s="218"/>
      <c r="R68" s="138"/>
      <c r="S68" s="216"/>
      <c r="T68" s="217"/>
      <c r="U68" s="217"/>
      <c r="V68" s="229"/>
      <c r="W68" s="234"/>
    </row>
    <row r="69" spans="2:23" ht="12.75" customHeight="1" x14ac:dyDescent="0.35">
      <c r="B69" s="3" t="s">
        <v>122</v>
      </c>
      <c r="C69" s="177"/>
      <c r="D69" s="165">
        <v>10000</v>
      </c>
      <c r="E69" s="165">
        <v>10000</v>
      </c>
      <c r="F69" s="165">
        <v>10000</v>
      </c>
      <c r="G69" s="165">
        <f>'BASE - Pre CV-19'!O169</f>
        <v>16000</v>
      </c>
      <c r="I69" s="196">
        <f>D69</f>
        <v>10000</v>
      </c>
      <c r="J69" s="197">
        <f t="shared" ref="J69" si="186">E69</f>
        <v>10000</v>
      </c>
      <c r="K69" s="197">
        <f t="shared" ref="K69" si="187">F69</f>
        <v>10000</v>
      </c>
      <c r="L69" s="198">
        <f t="shared" ref="L69" si="188">G69</f>
        <v>16000</v>
      </c>
      <c r="M69" s="138"/>
      <c r="N69" s="196">
        <f>D70</f>
        <v>769</v>
      </c>
      <c r="O69" s="197">
        <f t="shared" ref="O69" si="189">E70</f>
        <v>10000</v>
      </c>
      <c r="P69" s="197">
        <f t="shared" ref="P69" si="190">F70</f>
        <v>10000</v>
      </c>
      <c r="Q69" s="198">
        <f t="shared" ref="Q69" si="191">G70</f>
        <v>16000</v>
      </c>
      <c r="R69" s="138"/>
      <c r="S69" s="196">
        <f>N69-I69</f>
        <v>-9231</v>
      </c>
      <c r="T69" s="197">
        <f t="shared" ref="T69" si="192">O69-J69</f>
        <v>0</v>
      </c>
      <c r="U69" s="197">
        <f t="shared" ref="U69" si="193">P69-K69</f>
        <v>0</v>
      </c>
      <c r="V69" s="227">
        <f t="shared" ref="V69" si="194">Q69-L69</f>
        <v>0</v>
      </c>
      <c r="W69" s="234"/>
    </row>
    <row r="70" spans="2:23" ht="12.75" customHeight="1" x14ac:dyDescent="0.35">
      <c r="B70" s="98"/>
      <c r="C70" s="166" t="s">
        <v>224</v>
      </c>
      <c r="D70" s="181">
        <v>769</v>
      </c>
      <c r="E70" s="181">
        <v>10000</v>
      </c>
      <c r="F70" s="181">
        <v>10000</v>
      </c>
      <c r="G70" s="168">
        <f>G69</f>
        <v>16000</v>
      </c>
      <c r="I70" s="216"/>
      <c r="J70" s="217"/>
      <c r="K70" s="217"/>
      <c r="L70" s="218"/>
      <c r="M70" s="138"/>
      <c r="N70" s="216"/>
      <c r="O70" s="217"/>
      <c r="P70" s="217"/>
      <c r="Q70" s="218"/>
      <c r="R70" s="138"/>
      <c r="S70" s="216"/>
      <c r="T70" s="217"/>
      <c r="U70" s="217"/>
      <c r="V70" s="229"/>
      <c r="W70" s="234"/>
    </row>
    <row r="71" spans="2:23" ht="12.75" customHeight="1" thickBot="1" x14ac:dyDescent="0.4">
      <c r="B71" s="6" t="s">
        <v>125</v>
      </c>
      <c r="C71" s="178"/>
      <c r="D71" s="165">
        <f>D69+D67+D65+D63+D61</f>
        <v>214500</v>
      </c>
      <c r="E71" s="165">
        <f>E69+E67+E65+E63+E61</f>
        <v>241311.3</v>
      </c>
      <c r="F71" s="165">
        <f>F69+F67+F65+F63</f>
        <v>97150</v>
      </c>
      <c r="G71" s="165">
        <f>'BASE - Pre CV-19'!O171</f>
        <v>253677.01</v>
      </c>
      <c r="I71" s="196">
        <f>D71</f>
        <v>214500</v>
      </c>
      <c r="J71" s="197">
        <f t="shared" ref="J71" si="195">E71</f>
        <v>241311.3</v>
      </c>
      <c r="K71" s="197">
        <f t="shared" ref="K71" si="196">F71</f>
        <v>97150</v>
      </c>
      <c r="L71" s="198">
        <f t="shared" ref="L71" si="197">G71</f>
        <v>253677.01</v>
      </c>
      <c r="M71" s="138"/>
      <c r="N71" s="196">
        <f>D72</f>
        <v>81278.22</v>
      </c>
      <c r="O71" s="197">
        <f t="shared" ref="O71" si="198">E72</f>
        <v>155200</v>
      </c>
      <c r="P71" s="197">
        <f t="shared" ref="P71" si="199">F72</f>
        <v>183261</v>
      </c>
      <c r="Q71" s="198">
        <f t="shared" ref="Q71" si="200">G72</f>
        <v>253677.01</v>
      </c>
      <c r="R71" s="138"/>
      <c r="S71" s="196">
        <f>N71-I71</f>
        <v>-133221.78</v>
      </c>
      <c r="T71" s="197">
        <f t="shared" ref="T71" si="201">O71-J71</f>
        <v>-86111.299999999988</v>
      </c>
      <c r="U71" s="197">
        <f t="shared" ref="U71" si="202">P71-K71</f>
        <v>86111</v>
      </c>
      <c r="V71" s="227">
        <f t="shared" ref="V71" si="203">Q71-L71</f>
        <v>0</v>
      </c>
      <c r="W71" s="234" t="s">
        <v>319</v>
      </c>
    </row>
    <row r="72" spans="2:23" ht="12.75" customHeight="1" thickTop="1" x14ac:dyDescent="0.35">
      <c r="B72" s="98"/>
      <c r="C72" s="166" t="s">
        <v>224</v>
      </c>
      <c r="D72" s="168">
        <f>D70+D68+D66+D64+56.22</f>
        <v>81278.22</v>
      </c>
      <c r="E72" s="168">
        <f>E70+E68+E66+E64+4500</f>
        <v>155200</v>
      </c>
      <c r="F72" s="168">
        <f>F70+F68+F66+F64</f>
        <v>183261</v>
      </c>
      <c r="G72" s="168">
        <f>G71</f>
        <v>253677.01</v>
      </c>
      <c r="I72" s="216"/>
      <c r="J72" s="217"/>
      <c r="K72" s="217"/>
      <c r="L72" s="218"/>
      <c r="M72" s="138"/>
      <c r="N72" s="216"/>
      <c r="O72" s="217"/>
      <c r="P72" s="217"/>
      <c r="Q72" s="218"/>
      <c r="R72" s="138"/>
      <c r="S72" s="216"/>
      <c r="T72" s="217"/>
      <c r="U72" s="217"/>
      <c r="V72" s="229"/>
      <c r="W72" s="234"/>
    </row>
    <row r="73" spans="2:23" ht="12.75" customHeight="1" thickBot="1" x14ac:dyDescent="0.4">
      <c r="B73" s="6" t="s">
        <v>126</v>
      </c>
      <c r="C73" s="178"/>
      <c r="D73" s="165">
        <f>D71+D59+D57+D55+D53+D51</f>
        <v>859765.56579999998</v>
      </c>
      <c r="E73" s="165">
        <f>E71+E59+E57+E55+E53+E51</f>
        <v>970039.16448400007</v>
      </c>
      <c r="F73" s="165">
        <f>F71+F59+F57+F55+F53+F51</f>
        <v>777015.14159432007</v>
      </c>
      <c r="G73" s="165">
        <f>'BASE - Pre CV-19'!O173</f>
        <v>1016616.2959244336</v>
      </c>
      <c r="I73" s="196">
        <f>D73</f>
        <v>859765.56579999998</v>
      </c>
      <c r="J73" s="197">
        <f t="shared" ref="J73" si="204">E73</f>
        <v>970039.16448400007</v>
      </c>
      <c r="K73" s="197">
        <f t="shared" ref="K73" si="205">F73</f>
        <v>777015.14159432007</v>
      </c>
      <c r="L73" s="198">
        <f t="shared" ref="L73" si="206">G73</f>
        <v>1016616.2959244336</v>
      </c>
      <c r="M73" s="138"/>
      <c r="N73" s="196">
        <f>D74</f>
        <v>723843.22</v>
      </c>
      <c r="O73" s="197">
        <f t="shared" ref="O73" si="207">E74</f>
        <v>664179</v>
      </c>
      <c r="P73" s="197">
        <f t="shared" ref="P73" si="208">F74</f>
        <v>852045</v>
      </c>
      <c r="Q73" s="198">
        <f t="shared" ref="Q73" si="209">G74</f>
        <v>1016616.2959244336</v>
      </c>
      <c r="R73" s="138"/>
      <c r="S73" s="196">
        <f>N73-I73</f>
        <v>-135922.34580000001</v>
      </c>
      <c r="T73" s="197">
        <f t="shared" ref="T73" si="210">O73-J73</f>
        <v>-305860.16448400007</v>
      </c>
      <c r="U73" s="197">
        <f t="shared" ref="U73" si="211">P73-K73</f>
        <v>75029.85840567993</v>
      </c>
      <c r="V73" s="227">
        <f t="shared" ref="V73" si="212">Q73-L73</f>
        <v>0</v>
      </c>
      <c r="W73" s="234"/>
    </row>
    <row r="74" spans="2:23" ht="12.75" customHeight="1" thickTop="1" x14ac:dyDescent="0.35">
      <c r="B74" s="98"/>
      <c r="C74" s="166" t="s">
        <v>224</v>
      </c>
      <c r="D74" s="181">
        <f>D72+D60+D56+D54+D52+D50+D58</f>
        <v>723843.22</v>
      </c>
      <c r="E74" s="181">
        <f>E72+E60+E56+E54+E52+E50+E58</f>
        <v>664179</v>
      </c>
      <c r="F74" s="181">
        <f>F72+F60+F56+F54+F52+F50+F58</f>
        <v>852045</v>
      </c>
      <c r="G74" s="168">
        <f>G73</f>
        <v>1016616.2959244336</v>
      </c>
      <c r="I74" s="216"/>
      <c r="J74" s="217"/>
      <c r="K74" s="217"/>
      <c r="L74" s="218"/>
      <c r="M74" s="138"/>
      <c r="N74" s="216"/>
      <c r="O74" s="217"/>
      <c r="P74" s="217"/>
      <c r="Q74" s="218"/>
      <c r="R74" s="138"/>
      <c r="S74" s="216"/>
      <c r="T74" s="217"/>
      <c r="U74" s="217"/>
      <c r="V74" s="229"/>
      <c r="W74" s="234"/>
    </row>
    <row r="75" spans="2:23" ht="12.75" customHeight="1" thickBot="1" x14ac:dyDescent="0.4">
      <c r="B75" s="6" t="s">
        <v>168</v>
      </c>
      <c r="C75" s="178" t="s">
        <v>227</v>
      </c>
      <c r="D75" s="165">
        <f>D45-D73</f>
        <v>20146.91165454546</v>
      </c>
      <c r="E75" s="165">
        <f>E45-E73</f>
        <v>28002.241343272734</v>
      </c>
      <c r="F75" s="165">
        <f>F45-F73</f>
        <v>24696.242024316452</v>
      </c>
      <c r="G75" s="165">
        <f>G45-G73</f>
        <v>17632.107268206193</v>
      </c>
      <c r="I75" s="199">
        <f>D75</f>
        <v>20146.91165454546</v>
      </c>
      <c r="J75" s="200">
        <f t="shared" ref="J75" si="213">E75</f>
        <v>28002.241343272734</v>
      </c>
      <c r="K75" s="200">
        <f t="shared" ref="K75" si="214">F75</f>
        <v>24696.242024316452</v>
      </c>
      <c r="L75" s="201">
        <f t="shared" ref="L75" si="215">G75</f>
        <v>17632.107268206193</v>
      </c>
      <c r="M75" s="138"/>
      <c r="N75" s="199">
        <f>D76</f>
        <v>68454.780000000028</v>
      </c>
      <c r="O75" s="200">
        <f t="shared" ref="O75" si="216">E76</f>
        <v>198128</v>
      </c>
      <c r="P75" s="200">
        <f t="shared" ref="P75" si="217">F76</f>
        <v>69689.600000000093</v>
      </c>
      <c r="Q75" s="201">
        <f t="shared" ref="Q75" si="218">G76</f>
        <v>17632.107268206193</v>
      </c>
      <c r="R75" s="138"/>
      <c r="S75" s="199">
        <f>N75-I75</f>
        <v>48307.868345454568</v>
      </c>
      <c r="T75" s="200">
        <f t="shared" ref="T75" si="219">O75-J75</f>
        <v>170125.75865672727</v>
      </c>
      <c r="U75" s="200">
        <f t="shared" ref="U75" si="220">P75-K75</f>
        <v>44993.357975683641</v>
      </c>
      <c r="V75" s="232">
        <f t="shared" ref="V75" si="221">Q75-L75</f>
        <v>0</v>
      </c>
      <c r="W75" s="235"/>
    </row>
    <row r="76" spans="2:23" ht="12.75" customHeight="1" thickTop="1" x14ac:dyDescent="0.35">
      <c r="B76" s="98"/>
      <c r="C76" s="166" t="s">
        <v>224</v>
      </c>
      <c r="D76" s="181">
        <f>D46-D74</f>
        <v>68454.780000000028</v>
      </c>
      <c r="E76" s="181">
        <f>E46-E74</f>
        <v>198128</v>
      </c>
      <c r="F76" s="181">
        <f>F46-F74</f>
        <v>69689.600000000093</v>
      </c>
      <c r="G76" s="181">
        <f>G46-G74</f>
        <v>17632.107268206193</v>
      </c>
      <c r="I76" s="138"/>
      <c r="J76" s="138"/>
      <c r="K76" s="138"/>
      <c r="L76" s="138"/>
      <c r="M76" s="138"/>
      <c r="N76" s="138"/>
      <c r="O76" s="138"/>
      <c r="P76" s="138"/>
      <c r="Q76" s="138"/>
      <c r="R76" s="138"/>
      <c r="S76" s="138"/>
      <c r="T76" s="138"/>
      <c r="U76" s="138"/>
      <c r="V76" s="138"/>
    </row>
    <row r="77" spans="2:23" ht="12.75" customHeight="1" x14ac:dyDescent="0.35">
      <c r="I77" s="138"/>
      <c r="J77" s="138"/>
      <c r="K77" s="138"/>
      <c r="L77" s="138"/>
      <c r="M77" s="138"/>
      <c r="N77" s="138"/>
      <c r="O77" s="138"/>
      <c r="P77" s="138"/>
      <c r="Q77" s="138"/>
      <c r="R77" s="138"/>
      <c r="S77" s="138"/>
      <c r="T77" s="138"/>
      <c r="U77" s="138"/>
      <c r="V77" s="138"/>
    </row>
    <row r="78" spans="2:23" ht="12.75" customHeight="1" x14ac:dyDescent="0.35">
      <c r="C78" s="155"/>
      <c r="D78" s="156">
        <v>43983</v>
      </c>
      <c r="E78" s="157">
        <v>44348</v>
      </c>
      <c r="F78" s="157">
        <v>44713</v>
      </c>
      <c r="G78" s="156">
        <v>45078</v>
      </c>
    </row>
    <row r="79" spans="2:23" ht="12.75" customHeight="1" x14ac:dyDescent="0.35">
      <c r="B79" s="31"/>
      <c r="C79" s="160"/>
      <c r="D79" s="161" t="s">
        <v>132</v>
      </c>
      <c r="E79" s="162" t="s">
        <v>132</v>
      </c>
      <c r="F79" s="161" t="s">
        <v>132</v>
      </c>
      <c r="G79" s="187" t="s">
        <v>132</v>
      </c>
    </row>
    <row r="80" spans="2:23" ht="12.75" customHeight="1" x14ac:dyDescent="0.35">
      <c r="B80" s="31"/>
      <c r="D80" s="150"/>
      <c r="E80" s="150"/>
    </row>
    <row r="81" spans="2:5" ht="12.75" customHeight="1" x14ac:dyDescent="0.35">
      <c r="B81" s="31"/>
      <c r="D81" s="150"/>
      <c r="E81" s="150"/>
    </row>
    <row r="82" spans="2:5" ht="12.75" customHeight="1" x14ac:dyDescent="0.35">
      <c r="B82" s="26"/>
      <c r="D82" s="150"/>
      <c r="E82" s="150"/>
    </row>
    <row r="83" spans="2:5" ht="27.75" customHeight="1" x14ac:dyDescent="0.35">
      <c r="B83" s="26"/>
      <c r="D83" s="150"/>
      <c r="E83" s="150"/>
    </row>
    <row r="84" spans="2:5" ht="12.75" customHeight="1" x14ac:dyDescent="0.35">
      <c r="B84" s="54"/>
      <c r="D84" s="150"/>
      <c r="E84" s="150"/>
    </row>
    <row r="85" spans="2:5" ht="12.75" customHeight="1" x14ac:dyDescent="0.35">
      <c r="B85" s="54"/>
      <c r="D85" s="150"/>
      <c r="E85" s="150"/>
    </row>
    <row r="86" spans="2:5" ht="12.75" customHeight="1" x14ac:dyDescent="0.35">
      <c r="B86" s="55"/>
      <c r="D86" s="150"/>
      <c r="E86" s="150"/>
    </row>
    <row r="87" spans="2:5" ht="12.75" customHeight="1" x14ac:dyDescent="0.35">
      <c r="B87" s="54"/>
      <c r="D87" s="150"/>
      <c r="E87" s="150"/>
    </row>
    <row r="88" spans="2:5" ht="12.75" customHeight="1" x14ac:dyDescent="0.35">
      <c r="B88" s="54"/>
      <c r="D88" s="150"/>
      <c r="E88" s="150"/>
    </row>
    <row r="89" spans="2:5" ht="12.75" customHeight="1" x14ac:dyDescent="0.35">
      <c r="B89" s="55"/>
      <c r="D89" s="150"/>
      <c r="E89" s="150"/>
    </row>
    <row r="90" spans="2:5" ht="12.75" customHeight="1" x14ac:dyDescent="0.35">
      <c r="B90" s="55"/>
      <c r="D90" s="150"/>
      <c r="E90" s="150"/>
    </row>
    <row r="91" spans="2:5" ht="12.75" customHeight="1" x14ac:dyDescent="0.35">
      <c r="B91" s="54"/>
      <c r="D91" s="150"/>
      <c r="E91" s="150"/>
    </row>
    <row r="92" spans="2:5" ht="12.75" customHeight="1" x14ac:dyDescent="0.35">
      <c r="B92" s="54"/>
      <c r="D92" s="150"/>
      <c r="E92" s="150"/>
    </row>
    <row r="93" spans="2:5" ht="12.75" customHeight="1" x14ac:dyDescent="0.35">
      <c r="B93" s="54"/>
      <c r="D93" s="150"/>
      <c r="E93" s="150"/>
    </row>
    <row r="94" spans="2:5" ht="12.75" customHeight="1" x14ac:dyDescent="0.35">
      <c r="B94" s="54"/>
      <c r="D94" s="150"/>
      <c r="E94" s="150"/>
    </row>
    <row r="95" spans="2:5" ht="12.75" customHeight="1" x14ac:dyDescent="0.35">
      <c r="B95" s="54"/>
      <c r="D95" s="150"/>
      <c r="E95" s="150"/>
    </row>
    <row r="96" spans="2:5" ht="12.75" customHeight="1" x14ac:dyDescent="0.35">
      <c r="B96" s="54"/>
      <c r="D96" s="150"/>
      <c r="E96" s="150"/>
    </row>
    <row r="97" spans="2:5" ht="12.75" customHeight="1" x14ac:dyDescent="0.35">
      <c r="B97" s="55"/>
      <c r="D97" s="150"/>
      <c r="E97" s="150"/>
    </row>
    <row r="98" spans="2:5" ht="12.75" customHeight="1" x14ac:dyDescent="0.35">
      <c r="B98" s="54"/>
      <c r="D98" s="150"/>
      <c r="E98" s="150"/>
    </row>
    <row r="99" spans="2:5" ht="12.75" customHeight="1" x14ac:dyDescent="0.35">
      <c r="B99" s="55"/>
      <c r="D99" s="150"/>
      <c r="E99" s="150"/>
    </row>
    <row r="100" spans="2:5" ht="12.75" customHeight="1" x14ac:dyDescent="0.35">
      <c r="B100" s="55"/>
      <c r="D100" s="150"/>
      <c r="E100" s="150"/>
    </row>
    <row r="101" spans="2:5" ht="12.75" customHeight="1" x14ac:dyDescent="0.35">
      <c r="B101" s="54"/>
      <c r="D101" s="150"/>
      <c r="E101" s="150"/>
    </row>
    <row r="102" spans="2:5" ht="12.75" customHeight="1" x14ac:dyDescent="0.35">
      <c r="B102" s="55"/>
      <c r="D102" s="150"/>
      <c r="E102" s="150"/>
    </row>
    <row r="103" spans="2:5" ht="12.75" customHeight="1" x14ac:dyDescent="0.35">
      <c r="B103" s="54"/>
      <c r="D103" s="150"/>
      <c r="E103" s="150"/>
    </row>
    <row r="104" spans="2:5" ht="12.75" customHeight="1" x14ac:dyDescent="0.35">
      <c r="B104" s="54"/>
      <c r="D104" s="150"/>
      <c r="E104" s="150"/>
    </row>
    <row r="105" spans="2:5" ht="12.75" customHeight="1" x14ac:dyDescent="0.35">
      <c r="B105" s="54"/>
      <c r="D105" s="150"/>
      <c r="E105" s="150"/>
    </row>
    <row r="106" spans="2:5" ht="12.75" customHeight="1" x14ac:dyDescent="0.35">
      <c r="B106" s="54"/>
      <c r="D106" s="150"/>
      <c r="E106" s="150"/>
    </row>
    <row r="107" spans="2:5" ht="12.75" customHeight="1" x14ac:dyDescent="0.35">
      <c r="B107" s="54"/>
      <c r="D107" s="150"/>
      <c r="E107" s="150"/>
    </row>
    <row r="108" spans="2:5" ht="12.75" customHeight="1" x14ac:dyDescent="0.35">
      <c r="B108" s="54"/>
      <c r="D108" s="150"/>
      <c r="E108" s="150"/>
    </row>
    <row r="109" spans="2:5" ht="12.75" customHeight="1" x14ac:dyDescent="0.35">
      <c r="B109" s="54"/>
      <c r="D109" s="150"/>
      <c r="E109" s="150"/>
    </row>
    <row r="110" spans="2:5" ht="12.75" customHeight="1" x14ac:dyDescent="0.35">
      <c r="B110" s="54"/>
      <c r="D110" s="150"/>
      <c r="E110" s="150"/>
    </row>
    <row r="111" spans="2:5" ht="12.75" customHeight="1" x14ac:dyDescent="0.35">
      <c r="B111" s="54"/>
      <c r="D111" s="150"/>
      <c r="E111" s="150"/>
    </row>
    <row r="112" spans="2:5" ht="12.75" customHeight="1" x14ac:dyDescent="0.35">
      <c r="B112" s="54"/>
      <c r="D112" s="150"/>
      <c r="E112" s="150"/>
    </row>
    <row r="113" spans="2:5" ht="12.75" customHeight="1" x14ac:dyDescent="0.35">
      <c r="B113" s="54"/>
      <c r="D113" s="150"/>
      <c r="E113" s="150"/>
    </row>
    <row r="114" spans="2:5" ht="12.75" customHeight="1" x14ac:dyDescent="0.35">
      <c r="B114" s="54"/>
      <c r="D114" s="150"/>
      <c r="E114" s="150"/>
    </row>
    <row r="115" spans="2:5" ht="12.75" customHeight="1" x14ac:dyDescent="0.35">
      <c r="B115" s="54"/>
      <c r="D115" s="150"/>
      <c r="E115" s="150"/>
    </row>
    <row r="116" spans="2:5" ht="12.75" customHeight="1" x14ac:dyDescent="0.35">
      <c r="B116" s="31"/>
      <c r="D116" s="150"/>
      <c r="E116" s="150"/>
    </row>
    <row r="117" spans="2:5" ht="12.75" customHeight="1" x14ac:dyDescent="0.35">
      <c r="B117" s="31"/>
      <c r="D117" s="150"/>
      <c r="E117" s="150"/>
    </row>
    <row r="118" spans="2:5" ht="12.75" customHeight="1" x14ac:dyDescent="0.35">
      <c r="B118" s="31"/>
      <c r="D118" s="150"/>
      <c r="E118" s="150"/>
    </row>
    <row r="119" spans="2:5" ht="12.75" customHeight="1" x14ac:dyDescent="0.35">
      <c r="B119" s="31"/>
      <c r="D119" s="150"/>
      <c r="E119" s="150"/>
    </row>
    <row r="120" spans="2:5" ht="12.75" customHeight="1" x14ac:dyDescent="0.35">
      <c r="B120" s="31"/>
      <c r="D120" s="150"/>
      <c r="E120" s="150"/>
    </row>
    <row r="121" spans="2:5" ht="12.75" customHeight="1" x14ac:dyDescent="0.35">
      <c r="B121" s="31"/>
      <c r="D121" s="150"/>
      <c r="E121" s="150"/>
    </row>
    <row r="122" spans="2:5" ht="12.75" customHeight="1" x14ac:dyDescent="0.35">
      <c r="B122" s="31"/>
      <c r="D122" s="150"/>
      <c r="E122" s="150"/>
    </row>
    <row r="123" spans="2:5" ht="12.75" customHeight="1" x14ac:dyDescent="0.35">
      <c r="B123" s="31"/>
      <c r="D123" s="150"/>
      <c r="E123" s="150"/>
    </row>
    <row r="124" spans="2:5" ht="12.75" customHeight="1" x14ac:dyDescent="0.35">
      <c r="B124" s="31"/>
      <c r="D124" s="150"/>
      <c r="E124" s="150"/>
    </row>
    <row r="125" spans="2:5" ht="12.75" customHeight="1" x14ac:dyDescent="0.35">
      <c r="B125" s="31"/>
      <c r="D125" s="150"/>
      <c r="E125" s="150"/>
    </row>
    <row r="126" spans="2:5" ht="12.75" customHeight="1" x14ac:dyDescent="0.35">
      <c r="B126" s="31"/>
      <c r="D126" s="150"/>
      <c r="E126" s="150"/>
    </row>
    <row r="127" spans="2:5" ht="12.75" customHeight="1" x14ac:dyDescent="0.35">
      <c r="B127" s="31"/>
      <c r="D127" s="150"/>
      <c r="E127" s="150"/>
    </row>
    <row r="128" spans="2:5" ht="12.75" customHeight="1" x14ac:dyDescent="0.35">
      <c r="B128" s="31"/>
      <c r="D128" s="150"/>
      <c r="E128" s="150"/>
    </row>
    <row r="129" spans="2:5" ht="12.75" customHeight="1" x14ac:dyDescent="0.35">
      <c r="B129" s="31"/>
      <c r="D129" s="150"/>
      <c r="E129" s="150"/>
    </row>
    <row r="130" spans="2:5" ht="12.75" customHeight="1" x14ac:dyDescent="0.35">
      <c r="B130" s="31"/>
      <c r="D130" s="150"/>
      <c r="E130" s="150"/>
    </row>
    <row r="131" spans="2:5" ht="12.75" customHeight="1" x14ac:dyDescent="0.35">
      <c r="B131" s="31"/>
      <c r="D131" s="150"/>
      <c r="E131" s="150"/>
    </row>
    <row r="132" spans="2:5" ht="12.75" customHeight="1" x14ac:dyDescent="0.35">
      <c r="B132" s="31"/>
      <c r="D132" s="150"/>
      <c r="E132" s="150"/>
    </row>
    <row r="133" spans="2:5" ht="12.75" customHeight="1" x14ac:dyDescent="0.35">
      <c r="B133" s="31"/>
      <c r="D133" s="150"/>
      <c r="E133" s="150"/>
    </row>
    <row r="134" spans="2:5" ht="12.75" customHeight="1" x14ac:dyDescent="0.35">
      <c r="B134" s="31"/>
      <c r="D134" s="150"/>
      <c r="E134" s="150"/>
    </row>
    <row r="135" spans="2:5" ht="12.75" customHeight="1" x14ac:dyDescent="0.35">
      <c r="B135" s="31"/>
      <c r="D135" s="150"/>
      <c r="E135" s="150"/>
    </row>
    <row r="136" spans="2:5" ht="12.75" customHeight="1" x14ac:dyDescent="0.35">
      <c r="B136" s="31"/>
      <c r="D136" s="150"/>
      <c r="E136" s="150"/>
    </row>
    <row r="137" spans="2:5" ht="12.75" customHeight="1" x14ac:dyDescent="0.35">
      <c r="B137" s="31"/>
      <c r="D137" s="150"/>
      <c r="E137" s="150"/>
    </row>
    <row r="138" spans="2:5" ht="12.75" customHeight="1" x14ac:dyDescent="0.35">
      <c r="B138" s="31"/>
      <c r="D138" s="150"/>
      <c r="E138" s="150"/>
    </row>
    <row r="139" spans="2:5" ht="12.75" customHeight="1" x14ac:dyDescent="0.35">
      <c r="B139" s="31"/>
      <c r="D139" s="150"/>
      <c r="E139" s="150"/>
    </row>
    <row r="140" spans="2:5" ht="12.75" customHeight="1" x14ac:dyDescent="0.35">
      <c r="B140" s="31"/>
      <c r="D140" s="150"/>
      <c r="E140" s="150"/>
    </row>
    <row r="141" spans="2:5" ht="12.75" customHeight="1" x14ac:dyDescent="0.35">
      <c r="B141" s="31"/>
      <c r="D141" s="150"/>
      <c r="E141" s="150"/>
    </row>
    <row r="142" spans="2:5" ht="12.75" customHeight="1" x14ac:dyDescent="0.35">
      <c r="B142" s="31"/>
      <c r="D142" s="150"/>
      <c r="E142" s="150"/>
    </row>
    <row r="143" spans="2:5" ht="12.75" customHeight="1" x14ac:dyDescent="0.35">
      <c r="B143" s="31"/>
      <c r="D143" s="150"/>
      <c r="E143" s="150"/>
    </row>
    <row r="144" spans="2:5" ht="12.75" customHeight="1" x14ac:dyDescent="0.35">
      <c r="B144" s="31"/>
      <c r="D144" s="150"/>
      <c r="E144" s="150"/>
    </row>
    <row r="145" spans="2:5" ht="12.75" customHeight="1" x14ac:dyDescent="0.35">
      <c r="B145" s="31"/>
      <c r="D145" s="150"/>
      <c r="E145" s="150"/>
    </row>
    <row r="146" spans="2:5" ht="12.75" customHeight="1" x14ac:dyDescent="0.35">
      <c r="B146" s="31"/>
      <c r="D146" s="150"/>
      <c r="E146" s="150"/>
    </row>
    <row r="147" spans="2:5" ht="12.75" customHeight="1" x14ac:dyDescent="0.35">
      <c r="B147" s="31"/>
      <c r="D147" s="150"/>
      <c r="E147" s="150"/>
    </row>
    <row r="148" spans="2:5" ht="12.75" customHeight="1" x14ac:dyDescent="0.35">
      <c r="B148" s="31"/>
      <c r="D148" s="150"/>
      <c r="E148" s="150"/>
    </row>
    <row r="149" spans="2:5" ht="12.75" customHeight="1" x14ac:dyDescent="0.35">
      <c r="B149" s="31"/>
      <c r="D149" s="150"/>
      <c r="E149" s="150"/>
    </row>
    <row r="150" spans="2:5" ht="12.75" customHeight="1" x14ac:dyDescent="0.35">
      <c r="B150" s="31"/>
      <c r="D150" s="150"/>
      <c r="E150" s="150"/>
    </row>
    <row r="151" spans="2:5" ht="12.75" customHeight="1" x14ac:dyDescent="0.35">
      <c r="B151" s="31"/>
      <c r="D151" s="150"/>
      <c r="E151" s="150"/>
    </row>
    <row r="152" spans="2:5" ht="12.75" customHeight="1" x14ac:dyDescent="0.35">
      <c r="B152" s="31"/>
      <c r="D152" s="150"/>
      <c r="E152" s="150"/>
    </row>
    <row r="153" spans="2:5" ht="12.75" customHeight="1" x14ac:dyDescent="0.35">
      <c r="B153" s="31"/>
      <c r="D153" s="150"/>
      <c r="E153" s="150"/>
    </row>
    <row r="154" spans="2:5" ht="12.75" customHeight="1" x14ac:dyDescent="0.35">
      <c r="B154" s="31"/>
      <c r="D154" s="150"/>
      <c r="E154" s="150"/>
    </row>
    <row r="155" spans="2:5" ht="12.75" customHeight="1" x14ac:dyDescent="0.35">
      <c r="B155" s="31"/>
      <c r="D155" s="150"/>
      <c r="E155" s="150"/>
    </row>
    <row r="156" spans="2:5" ht="12.75" customHeight="1" x14ac:dyDescent="0.35">
      <c r="B156" s="31"/>
      <c r="D156" s="150"/>
      <c r="E156" s="150"/>
    </row>
    <row r="157" spans="2:5" ht="12.75" customHeight="1" x14ac:dyDescent="0.35">
      <c r="B157" s="31"/>
      <c r="D157" s="150"/>
      <c r="E157" s="150"/>
    </row>
    <row r="158" spans="2:5" ht="12.75" customHeight="1" x14ac:dyDescent="0.35">
      <c r="B158" s="31"/>
      <c r="D158" s="150"/>
      <c r="E158" s="150"/>
    </row>
    <row r="159" spans="2:5" ht="12.75" customHeight="1" x14ac:dyDescent="0.35">
      <c r="B159" s="31"/>
      <c r="D159" s="150"/>
      <c r="E159" s="150"/>
    </row>
    <row r="160" spans="2:5" ht="12.75" customHeight="1" x14ac:dyDescent="0.35">
      <c r="B160" s="31"/>
      <c r="D160" s="150"/>
      <c r="E160" s="150"/>
    </row>
    <row r="161" spans="2:5" ht="12.75" customHeight="1" x14ac:dyDescent="0.35">
      <c r="B161" s="31"/>
      <c r="D161" s="150"/>
      <c r="E161" s="150"/>
    </row>
    <row r="162" spans="2:5" ht="12.75" customHeight="1" x14ac:dyDescent="0.35">
      <c r="B162" s="31"/>
      <c r="D162" s="150"/>
      <c r="E162" s="150"/>
    </row>
    <row r="163" spans="2:5" ht="12.75" customHeight="1" x14ac:dyDescent="0.35">
      <c r="B163" s="31"/>
      <c r="D163" s="150"/>
      <c r="E163" s="150"/>
    </row>
    <row r="164" spans="2:5" ht="12.75" customHeight="1" x14ac:dyDescent="0.35">
      <c r="B164" s="31"/>
      <c r="D164" s="150"/>
      <c r="E164" s="150"/>
    </row>
    <row r="165" spans="2:5" ht="12.75" customHeight="1" x14ac:dyDescent="0.35">
      <c r="B165" s="31"/>
      <c r="D165" s="150"/>
      <c r="E165" s="150"/>
    </row>
    <row r="166" spans="2:5" ht="12.75" customHeight="1" x14ac:dyDescent="0.35">
      <c r="B166" s="31"/>
      <c r="D166" s="150"/>
      <c r="E166" s="150"/>
    </row>
    <row r="167" spans="2:5" ht="12.75" customHeight="1" x14ac:dyDescent="0.35">
      <c r="B167" s="31"/>
      <c r="D167" s="150"/>
      <c r="E167" s="150"/>
    </row>
    <row r="168" spans="2:5" ht="12.75" customHeight="1" x14ac:dyDescent="0.35">
      <c r="B168" s="31"/>
      <c r="D168" s="150"/>
      <c r="E168" s="150"/>
    </row>
    <row r="169" spans="2:5" ht="12.75" customHeight="1" x14ac:dyDescent="0.35">
      <c r="B169" s="31"/>
      <c r="D169" s="150"/>
      <c r="E169" s="150"/>
    </row>
    <row r="170" spans="2:5" ht="12.75" customHeight="1" x14ac:dyDescent="0.35">
      <c r="B170" s="31"/>
      <c r="D170" s="150"/>
      <c r="E170" s="150"/>
    </row>
    <row r="171" spans="2:5" ht="12.75" customHeight="1" x14ac:dyDescent="0.35">
      <c r="B171" s="31"/>
      <c r="D171" s="150"/>
      <c r="E171" s="150"/>
    </row>
    <row r="172" spans="2:5" ht="12.75" customHeight="1" x14ac:dyDescent="0.35">
      <c r="B172" s="31"/>
      <c r="D172" s="150"/>
      <c r="E172" s="150"/>
    </row>
    <row r="173" spans="2:5" ht="12.75" customHeight="1" x14ac:dyDescent="0.35">
      <c r="B173" s="31"/>
      <c r="D173" s="150"/>
      <c r="E173" s="150"/>
    </row>
    <row r="174" spans="2:5" ht="12.75" customHeight="1" x14ac:dyDescent="0.35">
      <c r="B174" s="31"/>
      <c r="D174" s="150"/>
      <c r="E174" s="150"/>
    </row>
    <row r="175" spans="2:5" ht="12.75" customHeight="1" x14ac:dyDescent="0.35">
      <c r="B175" s="31"/>
      <c r="D175" s="150"/>
      <c r="E175" s="150"/>
    </row>
    <row r="176" spans="2:5" ht="12.75" customHeight="1" x14ac:dyDescent="0.35">
      <c r="B176" s="31"/>
      <c r="D176" s="150"/>
      <c r="E176" s="150"/>
    </row>
    <row r="177" spans="2:5" ht="12.75" customHeight="1" x14ac:dyDescent="0.35">
      <c r="B177" s="31"/>
      <c r="D177" s="150"/>
      <c r="E177" s="150"/>
    </row>
    <row r="178" spans="2:5" ht="12.75" customHeight="1" x14ac:dyDescent="0.35">
      <c r="B178" s="31"/>
      <c r="D178" s="150"/>
      <c r="E178" s="150"/>
    </row>
    <row r="179" spans="2:5" ht="12.75" customHeight="1" x14ac:dyDescent="0.35">
      <c r="B179" s="31"/>
      <c r="D179" s="150"/>
      <c r="E179" s="150"/>
    </row>
    <row r="180" spans="2:5" ht="12.75" customHeight="1" x14ac:dyDescent="0.35">
      <c r="B180" s="31"/>
      <c r="D180" s="150"/>
      <c r="E180" s="150"/>
    </row>
    <row r="181" spans="2:5" ht="12.75" customHeight="1" x14ac:dyDescent="0.35">
      <c r="B181" s="31"/>
      <c r="D181" s="150"/>
      <c r="E181" s="150"/>
    </row>
    <row r="182" spans="2:5" ht="12.75" customHeight="1" x14ac:dyDescent="0.35">
      <c r="B182" s="31"/>
      <c r="D182" s="150"/>
      <c r="E182" s="150"/>
    </row>
    <row r="183" spans="2:5" ht="12.75" customHeight="1" x14ac:dyDescent="0.35">
      <c r="B183" s="31"/>
      <c r="D183" s="150"/>
      <c r="E183" s="150"/>
    </row>
    <row r="184" spans="2:5" ht="12.75" customHeight="1" x14ac:dyDescent="0.35">
      <c r="B184" s="31"/>
      <c r="D184" s="150"/>
      <c r="E184" s="150"/>
    </row>
    <row r="185" spans="2:5" ht="12.75" customHeight="1" x14ac:dyDescent="0.35">
      <c r="B185" s="31"/>
      <c r="D185" s="150"/>
      <c r="E185" s="150"/>
    </row>
    <row r="186" spans="2:5" ht="12.75" customHeight="1" x14ac:dyDescent="0.35">
      <c r="B186" s="31"/>
      <c r="D186" s="150"/>
      <c r="E186" s="150"/>
    </row>
    <row r="187" spans="2:5" ht="12.75" customHeight="1" x14ac:dyDescent="0.35">
      <c r="B187" s="31"/>
      <c r="D187" s="150"/>
      <c r="E187" s="150"/>
    </row>
    <row r="188" spans="2:5" ht="12.75" customHeight="1" x14ac:dyDescent="0.35">
      <c r="B188" s="31"/>
      <c r="D188" s="150"/>
      <c r="E188" s="150"/>
    </row>
    <row r="189" spans="2:5" ht="12.75" customHeight="1" x14ac:dyDescent="0.35">
      <c r="B189" s="31"/>
      <c r="D189" s="150"/>
      <c r="E189" s="150"/>
    </row>
    <row r="190" spans="2:5" ht="12.75" customHeight="1" x14ac:dyDescent="0.35">
      <c r="B190" s="31"/>
      <c r="D190" s="150"/>
      <c r="E190" s="150"/>
    </row>
    <row r="191" spans="2:5" ht="12.75" customHeight="1" x14ac:dyDescent="0.35">
      <c r="B191" s="31"/>
      <c r="D191" s="150"/>
      <c r="E191" s="150"/>
    </row>
    <row r="192" spans="2:5" ht="12.75" customHeight="1" x14ac:dyDescent="0.35">
      <c r="B192" s="31"/>
      <c r="D192" s="150"/>
      <c r="E192" s="150"/>
    </row>
    <row r="193" spans="2:5" ht="12.75" customHeight="1" x14ac:dyDescent="0.35">
      <c r="B193" s="31"/>
      <c r="D193" s="150"/>
      <c r="E193" s="150"/>
    </row>
    <row r="194" spans="2:5" ht="12.75" customHeight="1" x14ac:dyDescent="0.35">
      <c r="B194" s="31"/>
      <c r="D194" s="150"/>
      <c r="E194" s="150"/>
    </row>
    <row r="195" spans="2:5" ht="12.75" customHeight="1" x14ac:dyDescent="0.35">
      <c r="B195" s="31"/>
      <c r="D195" s="150"/>
      <c r="E195" s="150"/>
    </row>
    <row r="196" spans="2:5" ht="12.75" customHeight="1" x14ac:dyDescent="0.35">
      <c r="B196" s="31"/>
      <c r="D196" s="150"/>
      <c r="E196" s="150"/>
    </row>
    <row r="197" spans="2:5" ht="12.75" customHeight="1" x14ac:dyDescent="0.35">
      <c r="B197" s="31"/>
      <c r="D197" s="150"/>
      <c r="E197" s="150"/>
    </row>
    <row r="198" spans="2:5" ht="12.75" customHeight="1" x14ac:dyDescent="0.35">
      <c r="B198" s="31"/>
      <c r="D198" s="150"/>
      <c r="E198" s="150"/>
    </row>
    <row r="199" spans="2:5" ht="12.75" customHeight="1" x14ac:dyDescent="0.35">
      <c r="B199" s="31"/>
      <c r="D199" s="150"/>
      <c r="E199" s="150"/>
    </row>
    <row r="200" spans="2:5" ht="12.75" customHeight="1" x14ac:dyDescent="0.35">
      <c r="B200" s="31"/>
      <c r="D200" s="150"/>
      <c r="E200" s="150"/>
    </row>
    <row r="201" spans="2:5" ht="12.75" customHeight="1" x14ac:dyDescent="0.35">
      <c r="B201" s="31"/>
      <c r="D201" s="150"/>
      <c r="E201" s="150"/>
    </row>
    <row r="202" spans="2:5" ht="12.75" customHeight="1" x14ac:dyDescent="0.35">
      <c r="B202" s="31"/>
      <c r="D202" s="150"/>
      <c r="E202" s="150"/>
    </row>
    <row r="203" spans="2:5" ht="12.75" customHeight="1" x14ac:dyDescent="0.35">
      <c r="B203" s="31"/>
      <c r="D203" s="150"/>
      <c r="E203" s="150"/>
    </row>
    <row r="204" spans="2:5" ht="12.75" customHeight="1" x14ac:dyDescent="0.35">
      <c r="B204" s="31"/>
      <c r="D204" s="150"/>
      <c r="E204" s="150"/>
    </row>
    <row r="205" spans="2:5" ht="12.75" customHeight="1" x14ac:dyDescent="0.35">
      <c r="B205" s="31"/>
      <c r="D205" s="150"/>
      <c r="E205" s="150"/>
    </row>
    <row r="206" spans="2:5" ht="12.75" customHeight="1" x14ac:dyDescent="0.35">
      <c r="B206" s="31"/>
      <c r="D206" s="150"/>
      <c r="E206" s="150"/>
    </row>
    <row r="207" spans="2:5" ht="12.75" customHeight="1" x14ac:dyDescent="0.35">
      <c r="B207" s="31"/>
      <c r="D207" s="150"/>
      <c r="E207" s="150"/>
    </row>
    <row r="208" spans="2:5" ht="12.75" customHeight="1" x14ac:dyDescent="0.35">
      <c r="B208" s="31"/>
      <c r="D208" s="150"/>
      <c r="E208" s="150"/>
    </row>
    <row r="209" spans="2:5" ht="12.75" customHeight="1" x14ac:dyDescent="0.35">
      <c r="B209" s="31"/>
      <c r="D209" s="150"/>
      <c r="E209" s="150"/>
    </row>
    <row r="210" spans="2:5" ht="12.75" customHeight="1" x14ac:dyDescent="0.35">
      <c r="B210" s="31"/>
      <c r="D210" s="150"/>
      <c r="E210" s="150"/>
    </row>
    <row r="211" spans="2:5" ht="12.75" customHeight="1" x14ac:dyDescent="0.35">
      <c r="B211" s="31"/>
      <c r="D211" s="150"/>
      <c r="E211" s="150"/>
    </row>
    <row r="212" spans="2:5" ht="12.75" customHeight="1" x14ac:dyDescent="0.35">
      <c r="B212" s="31"/>
      <c r="D212" s="150"/>
      <c r="E212" s="150"/>
    </row>
    <row r="213" spans="2:5" ht="12.75" customHeight="1" x14ac:dyDescent="0.35">
      <c r="B213" s="31"/>
      <c r="D213" s="150"/>
      <c r="E213" s="150"/>
    </row>
    <row r="214" spans="2:5" ht="12.75" customHeight="1" x14ac:dyDescent="0.35">
      <c r="B214" s="31"/>
      <c r="D214" s="150"/>
      <c r="E214" s="150"/>
    </row>
    <row r="215" spans="2:5" ht="12.75" customHeight="1" x14ac:dyDescent="0.35">
      <c r="B215" s="31"/>
      <c r="D215" s="150"/>
      <c r="E215" s="150"/>
    </row>
    <row r="216" spans="2:5" ht="12.75" customHeight="1" x14ac:dyDescent="0.35">
      <c r="B216" s="31"/>
      <c r="D216" s="150"/>
      <c r="E216" s="150"/>
    </row>
    <row r="217" spans="2:5" ht="12.75" customHeight="1" x14ac:dyDescent="0.35">
      <c r="B217" s="31"/>
      <c r="D217" s="150"/>
      <c r="E217" s="150"/>
    </row>
    <row r="218" spans="2:5" ht="12.75" customHeight="1" x14ac:dyDescent="0.35">
      <c r="B218" s="31"/>
      <c r="D218" s="150"/>
      <c r="E218" s="150"/>
    </row>
    <row r="219" spans="2:5" ht="12.75" customHeight="1" x14ac:dyDescent="0.35">
      <c r="B219" s="31"/>
      <c r="D219" s="150"/>
      <c r="E219" s="150"/>
    </row>
    <row r="220" spans="2:5" ht="12.75" customHeight="1" x14ac:dyDescent="0.35">
      <c r="B220" s="31"/>
      <c r="D220" s="150"/>
      <c r="E220" s="150"/>
    </row>
    <row r="221" spans="2:5" ht="12.75" customHeight="1" x14ac:dyDescent="0.35">
      <c r="B221" s="31"/>
      <c r="D221" s="150"/>
      <c r="E221" s="150"/>
    </row>
    <row r="222" spans="2:5" ht="12.75" customHeight="1" x14ac:dyDescent="0.35">
      <c r="B222" s="31"/>
      <c r="D222" s="150"/>
      <c r="E222" s="150"/>
    </row>
    <row r="223" spans="2:5" ht="12.75" customHeight="1" x14ac:dyDescent="0.35">
      <c r="B223" s="31"/>
      <c r="D223" s="150"/>
      <c r="E223" s="150"/>
    </row>
    <row r="224" spans="2:5" ht="12.75" customHeight="1" x14ac:dyDescent="0.35">
      <c r="B224" s="31"/>
      <c r="D224" s="150"/>
      <c r="E224" s="150"/>
    </row>
    <row r="225" spans="2:5" ht="12.75" customHeight="1" x14ac:dyDescent="0.35">
      <c r="B225" s="31"/>
      <c r="D225" s="150"/>
      <c r="E225" s="150"/>
    </row>
    <row r="226" spans="2:5" ht="12.75" customHeight="1" x14ac:dyDescent="0.35">
      <c r="B226" s="31"/>
      <c r="D226" s="150"/>
      <c r="E226" s="150"/>
    </row>
    <row r="227" spans="2:5" ht="12.75" customHeight="1" x14ac:dyDescent="0.35">
      <c r="B227" s="31"/>
      <c r="D227" s="150"/>
      <c r="E227" s="150"/>
    </row>
    <row r="228" spans="2:5" ht="12.75" customHeight="1" x14ac:dyDescent="0.35">
      <c r="B228" s="31"/>
      <c r="D228" s="150"/>
      <c r="E228" s="150"/>
    </row>
    <row r="229" spans="2:5" ht="12.75" customHeight="1" x14ac:dyDescent="0.35">
      <c r="B229" s="31"/>
      <c r="D229" s="150"/>
      <c r="E229" s="150"/>
    </row>
    <row r="230" spans="2:5" ht="12.75" customHeight="1" x14ac:dyDescent="0.35">
      <c r="B230" s="31"/>
      <c r="D230" s="150"/>
      <c r="E230" s="150"/>
    </row>
    <row r="231" spans="2:5" ht="12.75" customHeight="1" x14ac:dyDescent="0.35">
      <c r="B231" s="31"/>
      <c r="D231" s="150"/>
      <c r="E231" s="150"/>
    </row>
    <row r="232" spans="2:5" ht="12.75" customHeight="1" x14ac:dyDescent="0.35">
      <c r="B232" s="31"/>
      <c r="D232" s="150"/>
      <c r="E232" s="150"/>
    </row>
    <row r="233" spans="2:5" ht="12.75" customHeight="1" x14ac:dyDescent="0.35">
      <c r="B233" s="31"/>
      <c r="D233" s="150"/>
      <c r="E233" s="150"/>
    </row>
    <row r="234" spans="2:5" ht="12.75" customHeight="1" x14ac:dyDescent="0.35">
      <c r="B234" s="31"/>
      <c r="D234" s="150"/>
      <c r="E234" s="150"/>
    </row>
    <row r="235" spans="2:5" ht="12.75" customHeight="1" x14ac:dyDescent="0.35">
      <c r="B235" s="31"/>
      <c r="D235" s="150"/>
      <c r="E235" s="150"/>
    </row>
    <row r="236" spans="2:5" ht="12.75" customHeight="1" x14ac:dyDescent="0.35">
      <c r="B236" s="31"/>
      <c r="D236" s="150"/>
      <c r="E236" s="150"/>
    </row>
    <row r="237" spans="2:5" ht="12.75" customHeight="1" x14ac:dyDescent="0.35">
      <c r="B237" s="31"/>
      <c r="D237" s="150"/>
      <c r="E237" s="150"/>
    </row>
    <row r="238" spans="2:5" ht="12.75" customHeight="1" x14ac:dyDescent="0.35">
      <c r="B238" s="31"/>
      <c r="D238" s="150"/>
      <c r="E238" s="150"/>
    </row>
    <row r="239" spans="2:5" ht="12.75" customHeight="1" x14ac:dyDescent="0.35">
      <c r="B239" s="31"/>
      <c r="D239" s="150"/>
      <c r="E239" s="150"/>
    </row>
    <row r="240" spans="2:5" ht="12.75" customHeight="1" x14ac:dyDescent="0.35">
      <c r="B240" s="31"/>
      <c r="D240" s="150"/>
      <c r="E240" s="150"/>
    </row>
    <row r="241" spans="2:5" ht="12.75" customHeight="1" x14ac:dyDescent="0.35">
      <c r="B241" s="31"/>
      <c r="D241" s="150"/>
      <c r="E241" s="150"/>
    </row>
    <row r="242" spans="2:5" ht="12.75" customHeight="1" x14ac:dyDescent="0.35">
      <c r="B242" s="31"/>
      <c r="D242" s="150"/>
      <c r="E242" s="150"/>
    </row>
    <row r="243" spans="2:5" ht="12.75" customHeight="1" x14ac:dyDescent="0.35">
      <c r="B243" s="31"/>
      <c r="D243" s="150"/>
      <c r="E243" s="150"/>
    </row>
    <row r="244" spans="2:5" ht="12.75" customHeight="1" x14ac:dyDescent="0.35">
      <c r="B244" s="31"/>
      <c r="D244" s="150"/>
      <c r="E244" s="150"/>
    </row>
    <row r="245" spans="2:5" ht="12.75" customHeight="1" x14ac:dyDescent="0.35">
      <c r="B245" s="31"/>
      <c r="D245" s="150"/>
      <c r="E245" s="150"/>
    </row>
    <row r="246" spans="2:5" ht="12.75" customHeight="1" x14ac:dyDescent="0.35">
      <c r="B246" s="31"/>
      <c r="D246" s="150"/>
      <c r="E246" s="150"/>
    </row>
    <row r="247" spans="2:5" ht="12.75" customHeight="1" x14ac:dyDescent="0.35">
      <c r="B247" s="31"/>
      <c r="D247" s="150"/>
      <c r="E247" s="150"/>
    </row>
    <row r="248" spans="2:5" ht="12.75" customHeight="1" x14ac:dyDescent="0.35">
      <c r="B248" s="31"/>
      <c r="D248" s="150"/>
      <c r="E248" s="150"/>
    </row>
    <row r="249" spans="2:5" ht="12.75" customHeight="1" x14ac:dyDescent="0.35">
      <c r="B249" s="31"/>
      <c r="D249" s="150"/>
      <c r="E249" s="150"/>
    </row>
    <row r="250" spans="2:5" ht="12.75" customHeight="1" x14ac:dyDescent="0.35">
      <c r="B250" s="31"/>
      <c r="D250" s="150"/>
      <c r="E250" s="150"/>
    </row>
    <row r="251" spans="2:5" ht="12.75" customHeight="1" x14ac:dyDescent="0.35">
      <c r="B251" s="31"/>
      <c r="D251" s="150"/>
      <c r="E251" s="150"/>
    </row>
    <row r="252" spans="2:5" ht="12.75" customHeight="1" x14ac:dyDescent="0.35">
      <c r="B252" s="31"/>
      <c r="D252" s="150"/>
      <c r="E252" s="150"/>
    </row>
    <row r="253" spans="2:5" ht="12.75" customHeight="1" x14ac:dyDescent="0.35">
      <c r="B253" s="31"/>
      <c r="D253" s="150"/>
      <c r="E253" s="150"/>
    </row>
    <row r="254" spans="2:5" ht="12.75" customHeight="1" x14ac:dyDescent="0.35">
      <c r="B254" s="31"/>
      <c r="D254" s="150"/>
      <c r="E254" s="150"/>
    </row>
    <row r="255" spans="2:5" ht="12.75" customHeight="1" x14ac:dyDescent="0.35">
      <c r="B255" s="31"/>
      <c r="D255" s="150"/>
      <c r="E255" s="150"/>
    </row>
    <row r="256" spans="2:5" ht="12.75" customHeight="1" x14ac:dyDescent="0.35">
      <c r="B256" s="31"/>
      <c r="D256" s="150"/>
      <c r="E256" s="150"/>
    </row>
    <row r="257" spans="2:5" ht="12.75" customHeight="1" x14ac:dyDescent="0.35">
      <c r="B257" s="31"/>
      <c r="D257" s="150"/>
      <c r="E257" s="150"/>
    </row>
    <row r="258" spans="2:5" ht="12.75" customHeight="1" x14ac:dyDescent="0.35">
      <c r="B258" s="31"/>
      <c r="D258" s="150"/>
      <c r="E258" s="150"/>
    </row>
    <row r="259" spans="2:5" ht="12.75" customHeight="1" x14ac:dyDescent="0.35">
      <c r="B259" s="31"/>
      <c r="D259" s="150"/>
      <c r="E259" s="150"/>
    </row>
    <row r="260" spans="2:5" ht="12.75" customHeight="1" x14ac:dyDescent="0.35">
      <c r="B260" s="31"/>
      <c r="D260" s="150"/>
      <c r="E260" s="150"/>
    </row>
    <row r="261" spans="2:5" ht="12.75" customHeight="1" x14ac:dyDescent="0.35">
      <c r="B261" s="31"/>
      <c r="D261" s="150"/>
      <c r="E261" s="150"/>
    </row>
    <row r="262" spans="2:5" ht="12.75" customHeight="1" x14ac:dyDescent="0.35">
      <c r="B262" s="31"/>
      <c r="D262" s="150"/>
      <c r="E262" s="150"/>
    </row>
    <row r="263" spans="2:5" ht="12.75" customHeight="1" x14ac:dyDescent="0.35">
      <c r="B263" s="31"/>
      <c r="D263" s="150"/>
      <c r="E263" s="150"/>
    </row>
    <row r="264" spans="2:5" ht="12.75" customHeight="1" x14ac:dyDescent="0.35">
      <c r="B264" s="31"/>
      <c r="D264" s="150"/>
      <c r="E264" s="150"/>
    </row>
    <row r="265" spans="2:5" ht="12.75" customHeight="1" x14ac:dyDescent="0.35">
      <c r="B265" s="31"/>
      <c r="D265" s="150"/>
      <c r="E265" s="150"/>
    </row>
    <row r="266" spans="2:5" ht="12.75" customHeight="1" x14ac:dyDescent="0.35">
      <c r="B266" s="31"/>
      <c r="D266" s="150"/>
      <c r="E266" s="150"/>
    </row>
    <row r="267" spans="2:5" ht="12.75" customHeight="1" x14ac:dyDescent="0.35">
      <c r="B267" s="31"/>
      <c r="D267" s="150"/>
      <c r="E267" s="150"/>
    </row>
    <row r="268" spans="2:5" ht="12.75" customHeight="1" x14ac:dyDescent="0.35">
      <c r="B268" s="31"/>
      <c r="D268" s="150"/>
      <c r="E268" s="150"/>
    </row>
    <row r="269" spans="2:5" ht="12.75" customHeight="1" x14ac:dyDescent="0.35">
      <c r="B269" s="31"/>
      <c r="D269" s="150"/>
      <c r="E269" s="150"/>
    </row>
    <row r="270" spans="2:5" ht="12.75" customHeight="1" x14ac:dyDescent="0.35">
      <c r="B270" s="31"/>
      <c r="D270" s="150"/>
      <c r="E270" s="150"/>
    </row>
    <row r="271" spans="2:5" ht="12.75" customHeight="1" x14ac:dyDescent="0.35">
      <c r="B271" s="31"/>
      <c r="D271" s="150"/>
      <c r="E271" s="150"/>
    </row>
    <row r="272" spans="2:5" ht="12.75" customHeight="1" x14ac:dyDescent="0.35">
      <c r="B272" s="31"/>
      <c r="D272" s="150"/>
      <c r="E272" s="150"/>
    </row>
    <row r="273" spans="2:5" ht="12.75" customHeight="1" x14ac:dyDescent="0.35">
      <c r="B273" s="31"/>
      <c r="D273" s="150"/>
      <c r="E273" s="150"/>
    </row>
    <row r="274" spans="2:5" ht="12.75" customHeight="1" x14ac:dyDescent="0.35">
      <c r="B274" s="31"/>
      <c r="D274" s="150"/>
      <c r="E274" s="150"/>
    </row>
    <row r="275" spans="2:5" ht="12.75" customHeight="1" x14ac:dyDescent="0.35">
      <c r="B275" s="31"/>
      <c r="D275" s="150"/>
      <c r="E275" s="150"/>
    </row>
    <row r="276" spans="2:5" ht="12.75" customHeight="1" x14ac:dyDescent="0.35">
      <c r="B276" s="31"/>
      <c r="D276" s="150"/>
      <c r="E276" s="150"/>
    </row>
    <row r="277" spans="2:5" ht="12.75" customHeight="1" x14ac:dyDescent="0.35">
      <c r="B277" s="31"/>
      <c r="D277" s="150"/>
      <c r="E277" s="150"/>
    </row>
    <row r="278" spans="2:5" ht="12.75" customHeight="1" x14ac:dyDescent="0.35">
      <c r="B278" s="31"/>
      <c r="D278" s="150"/>
      <c r="E278" s="150"/>
    </row>
    <row r="279" spans="2:5" ht="12.75" customHeight="1" x14ac:dyDescent="0.35">
      <c r="B279" s="31"/>
      <c r="D279" s="150"/>
      <c r="E279" s="150"/>
    </row>
    <row r="280" spans="2:5" ht="12.75" customHeight="1" x14ac:dyDescent="0.35">
      <c r="B280" s="31"/>
      <c r="D280" s="150"/>
      <c r="E280" s="150"/>
    </row>
    <row r="281" spans="2:5" ht="12.75" customHeight="1" x14ac:dyDescent="0.35">
      <c r="B281" s="31"/>
      <c r="D281" s="150"/>
      <c r="E281" s="150"/>
    </row>
    <row r="282" spans="2:5" ht="12.75" customHeight="1" x14ac:dyDescent="0.35">
      <c r="B282" s="31"/>
      <c r="D282" s="150"/>
      <c r="E282" s="150"/>
    </row>
    <row r="283" spans="2:5" ht="12.75" customHeight="1" x14ac:dyDescent="0.35">
      <c r="B283" s="31"/>
      <c r="D283" s="150"/>
      <c r="E283" s="150"/>
    </row>
    <row r="284" spans="2:5" ht="12.75" customHeight="1" x14ac:dyDescent="0.35">
      <c r="B284" s="31"/>
      <c r="D284" s="150"/>
      <c r="E284" s="150"/>
    </row>
    <row r="285" spans="2:5" ht="12.75" customHeight="1" x14ac:dyDescent="0.35">
      <c r="B285" s="31"/>
      <c r="D285" s="150"/>
      <c r="E285" s="150"/>
    </row>
    <row r="286" spans="2:5" ht="12.75" customHeight="1" x14ac:dyDescent="0.35">
      <c r="B286" s="31"/>
      <c r="D286" s="150"/>
      <c r="E286" s="150"/>
    </row>
    <row r="287" spans="2:5" ht="12.75" customHeight="1" x14ac:dyDescent="0.35">
      <c r="B287" s="31"/>
      <c r="D287" s="150"/>
      <c r="E287" s="150"/>
    </row>
    <row r="288" spans="2:5" ht="12.75" customHeight="1" x14ac:dyDescent="0.35">
      <c r="B288" s="31"/>
      <c r="D288" s="150"/>
      <c r="E288" s="150"/>
    </row>
    <row r="289" spans="2:5" ht="12.75" customHeight="1" x14ac:dyDescent="0.35">
      <c r="B289" s="31"/>
      <c r="D289" s="150"/>
      <c r="E289" s="150"/>
    </row>
    <row r="290" spans="2:5" ht="12.75" customHeight="1" x14ac:dyDescent="0.35">
      <c r="B290" s="31"/>
      <c r="D290" s="150"/>
      <c r="E290" s="150"/>
    </row>
    <row r="291" spans="2:5" ht="12.75" customHeight="1" x14ac:dyDescent="0.35">
      <c r="B291" s="31"/>
      <c r="D291" s="150"/>
      <c r="E291" s="150"/>
    </row>
    <row r="292" spans="2:5" ht="12.75" customHeight="1" x14ac:dyDescent="0.35">
      <c r="B292" s="31"/>
      <c r="D292" s="150"/>
      <c r="E292" s="150"/>
    </row>
    <row r="293" spans="2:5" ht="12.75" customHeight="1" x14ac:dyDescent="0.35">
      <c r="B293" s="31"/>
      <c r="D293" s="150"/>
      <c r="E293" s="150"/>
    </row>
    <row r="294" spans="2:5" ht="12.75" customHeight="1" x14ac:dyDescent="0.35">
      <c r="B294" s="31"/>
      <c r="D294" s="150"/>
      <c r="E294" s="150"/>
    </row>
    <row r="295" spans="2:5" ht="12.75" customHeight="1" x14ac:dyDescent="0.35">
      <c r="B295" s="31"/>
      <c r="D295" s="150"/>
      <c r="E295" s="150"/>
    </row>
    <row r="296" spans="2:5" ht="12.75" customHeight="1" x14ac:dyDescent="0.35">
      <c r="B296" s="31"/>
      <c r="D296" s="150"/>
      <c r="E296" s="150"/>
    </row>
    <row r="297" spans="2:5" ht="12.75" customHeight="1" x14ac:dyDescent="0.35">
      <c r="B297" s="31"/>
      <c r="D297" s="150"/>
      <c r="E297" s="150"/>
    </row>
    <row r="298" spans="2:5" ht="12.75" customHeight="1" x14ac:dyDescent="0.35">
      <c r="B298" s="31"/>
      <c r="D298" s="150"/>
      <c r="E298" s="150"/>
    </row>
    <row r="299" spans="2:5" ht="12.75" customHeight="1" x14ac:dyDescent="0.35">
      <c r="B299" s="31"/>
      <c r="D299" s="150"/>
      <c r="E299" s="150"/>
    </row>
    <row r="300" spans="2:5" ht="12.75" customHeight="1" x14ac:dyDescent="0.35">
      <c r="B300" s="31"/>
      <c r="D300" s="150"/>
      <c r="E300" s="150"/>
    </row>
    <row r="301" spans="2:5" ht="12.75" customHeight="1" x14ac:dyDescent="0.35">
      <c r="B301" s="31"/>
      <c r="D301" s="150"/>
      <c r="E301" s="150"/>
    </row>
    <row r="302" spans="2:5" ht="12.75" customHeight="1" x14ac:dyDescent="0.35">
      <c r="B302" s="31"/>
      <c r="D302" s="150"/>
      <c r="E302" s="150"/>
    </row>
  </sheetData>
  <sheetProtection algorithmName="SHA-512" hashValue="2AvG77SqnMCeou9Z+tXiJYH8+3AjSstx3IK2iCqaM4g9ZXAPJ1mD6wbTMzRNyg5nhu2uiL2DK+YDnwd8oODUzg==" saltValue="6GocqqXbYMZTWKh+JxTZVw==" spinCount="100000" sheet="1" objects="1" scenarios="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51B1-1838-4101-932D-17C5CC0BADFC}">
  <sheetPr codeName="Sheet11"/>
  <dimension ref="B1:W299"/>
  <sheetViews>
    <sheetView workbookViewId="0">
      <selection activeCell="K4" sqref="K4"/>
    </sheetView>
  </sheetViews>
  <sheetFormatPr defaultRowHeight="12.75" x14ac:dyDescent="0.35"/>
  <cols>
    <col min="2" max="2" width="43.86328125" bestFit="1" customWidth="1"/>
    <col min="3" max="3" width="12.265625" style="31" hidden="1" customWidth="1"/>
    <col min="4" max="4" width="13.06640625" hidden="1" customWidth="1"/>
    <col min="5" max="5" width="13.06640625" style="34" hidden="1" customWidth="1"/>
    <col min="6" max="6" width="13.06640625" style="69" hidden="1" customWidth="1"/>
    <col min="7" max="8" width="12" hidden="1" customWidth="1"/>
    <col min="9" max="11" width="9.796875" bestFit="1" customWidth="1"/>
    <col min="12" max="12" width="11.06640625" bestFit="1" customWidth="1"/>
    <col min="14" max="16" width="9.796875" bestFit="1" customWidth="1"/>
    <col min="17" max="17" width="11.06640625" bestFit="1" customWidth="1"/>
    <col min="19" max="21" width="9.796875" bestFit="1" customWidth="1"/>
    <col min="22" max="22" width="11.06640625" bestFit="1" customWidth="1"/>
    <col min="23" max="23" width="63.796875" customWidth="1"/>
  </cols>
  <sheetData>
    <row r="1" spans="2:23" ht="12.75" customHeight="1" x14ac:dyDescent="0.35">
      <c r="B1" s="145" t="s">
        <v>306</v>
      </c>
      <c r="C1" s="76"/>
      <c r="D1" s="52"/>
      <c r="E1" s="52"/>
      <c r="F1" s="68"/>
    </row>
    <row r="2" spans="2:23" ht="12.75" customHeight="1" x14ac:dyDescent="0.35">
      <c r="B2" s="52"/>
      <c r="C2" s="76"/>
      <c r="D2" s="52"/>
      <c r="E2" s="52"/>
      <c r="F2" s="68"/>
    </row>
    <row r="3" spans="2:23" ht="12.75" customHeight="1" x14ac:dyDescent="0.35">
      <c r="B3" s="52"/>
      <c r="C3" s="76"/>
      <c r="D3" s="52"/>
      <c r="E3" s="52"/>
      <c r="F3" s="68"/>
    </row>
    <row r="4" spans="2:23" ht="12.75" customHeight="1" x14ac:dyDescent="0.35">
      <c r="B4" s="52"/>
      <c r="C4" s="76"/>
      <c r="D4" s="52"/>
      <c r="E4" s="52"/>
      <c r="F4" s="68"/>
    </row>
    <row r="5" spans="2:23" ht="12.75" customHeight="1" x14ac:dyDescent="0.35">
      <c r="B5" s="52"/>
      <c r="C5" s="76"/>
      <c r="D5" s="52"/>
      <c r="E5" s="52"/>
      <c r="F5" s="68"/>
    </row>
    <row r="6" spans="2:23" ht="15.4" customHeight="1" thickBot="1" x14ac:dyDescent="0.4">
      <c r="B6" s="125"/>
      <c r="C6" s="76"/>
      <c r="D6" s="52"/>
      <c r="E6" s="52"/>
      <c r="F6" s="68"/>
    </row>
    <row r="7" spans="2:23" ht="12.75" customHeight="1" thickTop="1" x14ac:dyDescent="0.35">
      <c r="I7" s="202" t="s">
        <v>294</v>
      </c>
      <c r="J7" s="207"/>
      <c r="K7" s="188"/>
      <c r="L7" s="189"/>
      <c r="N7" s="202" t="s">
        <v>224</v>
      </c>
      <c r="O7" s="236" t="str">
        <f>B1</f>
        <v>Option F</v>
      </c>
      <c r="P7" s="188"/>
      <c r="Q7" s="189"/>
      <c r="S7" s="202" t="s">
        <v>295</v>
      </c>
      <c r="T7" s="207"/>
      <c r="U7" s="188"/>
      <c r="V7" s="189"/>
    </row>
    <row r="8" spans="2:23" ht="12.75" customHeight="1" x14ac:dyDescent="0.35">
      <c r="C8" s="77"/>
      <c r="F8" s="144" t="s">
        <v>140</v>
      </c>
      <c r="G8" s="144" t="s">
        <v>140</v>
      </c>
      <c r="I8" s="208"/>
      <c r="J8" s="209"/>
      <c r="K8" s="190" t="s">
        <v>140</v>
      </c>
      <c r="L8" s="191" t="s">
        <v>140</v>
      </c>
      <c r="N8" s="208"/>
      <c r="O8" s="209"/>
      <c r="P8" s="190" t="s">
        <v>140</v>
      </c>
      <c r="Q8" s="191" t="s">
        <v>140</v>
      </c>
      <c r="S8" s="208"/>
      <c r="T8" s="209"/>
      <c r="U8" s="190" t="s">
        <v>140</v>
      </c>
      <c r="V8" s="191" t="s">
        <v>140</v>
      </c>
    </row>
    <row r="9" spans="2:23" ht="12.75" customHeight="1" thickBot="1" x14ac:dyDescent="0.4">
      <c r="B9" s="4"/>
      <c r="C9" s="78"/>
      <c r="D9" s="47">
        <v>43983</v>
      </c>
      <c r="E9" s="46">
        <v>44348</v>
      </c>
      <c r="F9" s="70">
        <v>44713</v>
      </c>
      <c r="G9" s="130" t="s">
        <v>238</v>
      </c>
      <c r="I9" s="192">
        <v>43983</v>
      </c>
      <c r="J9" s="193">
        <v>44348</v>
      </c>
      <c r="K9" s="194">
        <v>44713</v>
      </c>
      <c r="L9" s="195" t="s">
        <v>238</v>
      </c>
      <c r="N9" s="192">
        <v>43983</v>
      </c>
      <c r="O9" s="193">
        <v>44348</v>
      </c>
      <c r="P9" s="194">
        <v>44713</v>
      </c>
      <c r="Q9" s="195" t="s">
        <v>238</v>
      </c>
      <c r="S9" s="192">
        <v>43983</v>
      </c>
      <c r="T9" s="193">
        <v>44348</v>
      </c>
      <c r="U9" s="194">
        <v>44713</v>
      </c>
      <c r="V9" s="195" t="s">
        <v>238</v>
      </c>
    </row>
    <row r="10" spans="2:23" ht="12.75" customHeight="1" thickTop="1" thickBot="1" x14ac:dyDescent="0.4">
      <c r="C10" s="79"/>
      <c r="D10" s="9" t="s">
        <v>223</v>
      </c>
      <c r="E10" s="44" t="s">
        <v>131</v>
      </c>
      <c r="F10" s="9" t="s">
        <v>131</v>
      </c>
      <c r="G10" s="9" t="s">
        <v>131</v>
      </c>
      <c r="I10" s="203" t="s">
        <v>223</v>
      </c>
      <c r="J10" s="204" t="s">
        <v>131</v>
      </c>
      <c r="K10" s="205" t="s">
        <v>131</v>
      </c>
      <c r="L10" s="206" t="s">
        <v>131</v>
      </c>
      <c r="N10" s="203" t="s">
        <v>223</v>
      </c>
      <c r="O10" s="204" t="s">
        <v>131</v>
      </c>
      <c r="P10" s="205" t="s">
        <v>131</v>
      </c>
      <c r="Q10" s="206" t="s">
        <v>131</v>
      </c>
      <c r="S10" s="203" t="s">
        <v>223</v>
      </c>
      <c r="T10" s="204" t="s">
        <v>131</v>
      </c>
      <c r="U10" s="205" t="s">
        <v>131</v>
      </c>
      <c r="V10" s="225" t="s">
        <v>131</v>
      </c>
      <c r="W10" s="233" t="s">
        <v>297</v>
      </c>
    </row>
    <row r="11" spans="2:23" ht="12.75" customHeight="1" thickTop="1" x14ac:dyDescent="0.35">
      <c r="B11" s="3" t="s">
        <v>3</v>
      </c>
      <c r="G11" s="129"/>
      <c r="I11" s="210"/>
      <c r="J11" s="211"/>
      <c r="K11" s="211"/>
      <c r="L11" s="212"/>
      <c r="N11" s="210"/>
      <c r="O11" s="211"/>
      <c r="P11" s="211"/>
      <c r="Q11" s="212"/>
      <c r="S11" s="210"/>
      <c r="T11" s="211"/>
      <c r="U11" s="211"/>
      <c r="V11" s="226"/>
      <c r="W11" s="234"/>
    </row>
    <row r="12" spans="2:23" ht="12.75" customHeight="1" x14ac:dyDescent="0.35">
      <c r="B12" s="3" t="s">
        <v>4</v>
      </c>
      <c r="C12" s="81"/>
      <c r="D12" s="103">
        <v>45700</v>
      </c>
      <c r="E12" s="103">
        <v>36700</v>
      </c>
      <c r="F12" s="103">
        <v>36700</v>
      </c>
      <c r="G12" s="103">
        <f>'BASE - Pre CV-19'!O19</f>
        <v>23700</v>
      </c>
      <c r="I12" s="196">
        <f>D12</f>
        <v>45700</v>
      </c>
      <c r="J12" s="197">
        <f t="shared" ref="J12:L12" si="0">E12</f>
        <v>36700</v>
      </c>
      <c r="K12" s="197">
        <f t="shared" si="0"/>
        <v>36700</v>
      </c>
      <c r="L12" s="198">
        <f t="shared" si="0"/>
        <v>23700</v>
      </c>
      <c r="M12" s="138"/>
      <c r="N12" s="196">
        <f>D13</f>
        <v>33984</v>
      </c>
      <c r="O12" s="197">
        <f t="shared" ref="O12:Q12" si="1">E13</f>
        <v>27500</v>
      </c>
      <c r="P12" s="197">
        <f t="shared" si="1"/>
        <v>27500</v>
      </c>
      <c r="Q12" s="198">
        <f t="shared" si="1"/>
        <v>23700</v>
      </c>
      <c r="R12" s="138"/>
      <c r="S12" s="196">
        <f>N12-I12</f>
        <v>-11716</v>
      </c>
      <c r="T12" s="197">
        <f t="shared" ref="T12:V12" si="2">O12-J12</f>
        <v>-9200</v>
      </c>
      <c r="U12" s="197">
        <f t="shared" si="2"/>
        <v>-9200</v>
      </c>
      <c r="V12" s="227">
        <f t="shared" si="2"/>
        <v>0</v>
      </c>
      <c r="W12" s="234" t="s">
        <v>298</v>
      </c>
    </row>
    <row r="13" spans="2:23" ht="12.75" customHeight="1" x14ac:dyDescent="0.35">
      <c r="C13" s="100" t="s">
        <v>224</v>
      </c>
      <c r="D13" s="104">
        <v>33984</v>
      </c>
      <c r="E13" s="105">
        <v>27500</v>
      </c>
      <c r="F13" s="104">
        <v>27500</v>
      </c>
      <c r="G13" s="104">
        <f>G12</f>
        <v>23700</v>
      </c>
      <c r="I13" s="213"/>
      <c r="J13" s="214"/>
      <c r="K13" s="214"/>
      <c r="L13" s="215"/>
      <c r="N13" s="213"/>
      <c r="O13" s="214"/>
      <c r="P13" s="214"/>
      <c r="Q13" s="215"/>
      <c r="S13" s="213"/>
      <c r="T13" s="214"/>
      <c r="U13" s="214"/>
      <c r="V13" s="228"/>
      <c r="W13" s="234"/>
    </row>
    <row r="14" spans="2:23" ht="12.75" customHeight="1" x14ac:dyDescent="0.35">
      <c r="B14" s="3" t="s">
        <v>10</v>
      </c>
      <c r="D14" s="106"/>
      <c r="E14" s="107"/>
      <c r="F14" s="108"/>
      <c r="I14" s="210"/>
      <c r="J14" s="211"/>
      <c r="K14" s="211"/>
      <c r="L14" s="211"/>
      <c r="N14" s="210"/>
      <c r="O14" s="211"/>
      <c r="P14" s="211"/>
      <c r="Q14" s="211"/>
      <c r="S14" s="210"/>
      <c r="T14" s="211"/>
      <c r="U14" s="211"/>
      <c r="V14" s="226"/>
      <c r="W14" s="234"/>
    </row>
    <row r="15" spans="2:23" ht="12.75" customHeight="1" x14ac:dyDescent="0.35">
      <c r="B15" s="3" t="s">
        <v>11</v>
      </c>
      <c r="D15" s="103">
        <v>181992.66750000001</v>
      </c>
      <c r="E15" s="103">
        <v>191092.30087500002</v>
      </c>
      <c r="F15" s="103">
        <v>200646.91591875005</v>
      </c>
      <c r="G15" s="103">
        <f>'BASE - Pre CV-19'!O31</f>
        <v>210679.26171468751</v>
      </c>
      <c r="I15" s="196">
        <f>D15</f>
        <v>181992.66750000001</v>
      </c>
      <c r="J15" s="197">
        <f t="shared" ref="J15:L15" si="3">E15</f>
        <v>191092.30087500002</v>
      </c>
      <c r="K15" s="197">
        <f t="shared" si="3"/>
        <v>200646.91591875005</v>
      </c>
      <c r="L15" s="198">
        <f t="shared" si="3"/>
        <v>210679.26171468751</v>
      </c>
      <c r="M15" s="138"/>
      <c r="N15" s="196">
        <f>D16</f>
        <v>192659</v>
      </c>
      <c r="O15" s="197">
        <f t="shared" ref="O15:Q15" si="4">E16</f>
        <v>192109</v>
      </c>
      <c r="P15" s="197">
        <f t="shared" si="4"/>
        <v>201704</v>
      </c>
      <c r="Q15" s="198">
        <f t="shared" si="4"/>
        <v>210679.26171468751</v>
      </c>
      <c r="R15" s="138"/>
      <c r="S15" s="196">
        <f>N15-I15</f>
        <v>10666.33249999999</v>
      </c>
      <c r="T15" s="197">
        <f t="shared" ref="T15:V15" si="5">O15-J15</f>
        <v>1016.6991249999846</v>
      </c>
      <c r="U15" s="197">
        <f t="shared" si="5"/>
        <v>1057.0840812499519</v>
      </c>
      <c r="V15" s="227">
        <f t="shared" si="5"/>
        <v>0</v>
      </c>
      <c r="W15" s="234"/>
    </row>
    <row r="16" spans="2:23" ht="12.75" customHeight="1" x14ac:dyDescent="0.35">
      <c r="C16" s="100" t="s">
        <v>224</v>
      </c>
      <c r="D16" s="105">
        <v>192659</v>
      </c>
      <c r="E16" s="105">
        <v>192109</v>
      </c>
      <c r="F16" s="105">
        <v>201704</v>
      </c>
      <c r="G16" s="105">
        <f>G15</f>
        <v>210679.26171468751</v>
      </c>
      <c r="I16" s="216"/>
      <c r="J16" s="217"/>
      <c r="K16" s="217"/>
      <c r="L16" s="218"/>
      <c r="M16" s="138"/>
      <c r="N16" s="216"/>
      <c r="O16" s="217"/>
      <c r="P16" s="217"/>
      <c r="Q16" s="218"/>
      <c r="R16" s="138"/>
      <c r="S16" s="216"/>
      <c r="T16" s="217"/>
      <c r="U16" s="217"/>
      <c r="V16" s="229"/>
      <c r="W16" s="234"/>
    </row>
    <row r="17" spans="2:23" ht="12.75" customHeight="1" x14ac:dyDescent="0.35">
      <c r="B17" s="3" t="s">
        <v>19</v>
      </c>
      <c r="C17" s="81"/>
      <c r="D17" s="103">
        <v>274023.0999545455</v>
      </c>
      <c r="E17" s="103">
        <v>287724.25495227281</v>
      </c>
      <c r="F17" s="103">
        <v>302110.46769988647</v>
      </c>
      <c r="G17" s="103">
        <f>'BASE - Pre CV-19'!O39</f>
        <v>290842.64897795231</v>
      </c>
      <c r="H17" s="133"/>
      <c r="I17" s="196">
        <f>D17</f>
        <v>274023.0999545455</v>
      </c>
      <c r="J17" s="197">
        <f t="shared" ref="J17:L17" si="6">E17</f>
        <v>287724.25495227281</v>
      </c>
      <c r="K17" s="197">
        <f t="shared" si="6"/>
        <v>302110.46769988647</v>
      </c>
      <c r="L17" s="198">
        <f t="shared" si="6"/>
        <v>290842.64897795231</v>
      </c>
      <c r="M17" s="138"/>
      <c r="N17" s="196">
        <f>D18</f>
        <v>258682</v>
      </c>
      <c r="O17" s="197">
        <f t="shared" ref="O17:Q17" si="7">E18</f>
        <v>284170</v>
      </c>
      <c r="P17" s="197">
        <f t="shared" si="7"/>
        <v>292923.60000000003</v>
      </c>
      <c r="Q17" s="198">
        <f t="shared" si="7"/>
        <v>290842.64897795231</v>
      </c>
      <c r="R17" s="138"/>
      <c r="S17" s="196">
        <f>N17-I17</f>
        <v>-15341.099954545498</v>
      </c>
      <c r="T17" s="197">
        <f t="shared" ref="T17:V17" si="8">O17-J17</f>
        <v>-3554.2549522728077</v>
      </c>
      <c r="U17" s="197">
        <f t="shared" si="8"/>
        <v>-9186.8676998864394</v>
      </c>
      <c r="V17" s="227">
        <f t="shared" si="8"/>
        <v>0</v>
      </c>
      <c r="W17" s="234"/>
    </row>
    <row r="18" spans="2:23" ht="12.75" customHeight="1" x14ac:dyDescent="0.35">
      <c r="C18" s="100" t="s">
        <v>224</v>
      </c>
      <c r="D18" s="104">
        <v>258682</v>
      </c>
      <c r="E18" s="105">
        <v>284170</v>
      </c>
      <c r="F18" s="104">
        <f>(346*1.02)*830</f>
        <v>292923.60000000003</v>
      </c>
      <c r="G18" s="105">
        <f>G17</f>
        <v>290842.64897795231</v>
      </c>
      <c r="I18" s="213"/>
      <c r="J18" s="214"/>
      <c r="K18" s="214"/>
      <c r="L18" s="215"/>
      <c r="N18" s="213"/>
      <c r="O18" s="214"/>
      <c r="P18" s="214"/>
      <c r="Q18" s="215"/>
      <c r="S18" s="213"/>
      <c r="T18" s="214"/>
      <c r="U18" s="214"/>
      <c r="V18" s="228"/>
      <c r="W18" s="234"/>
    </row>
    <row r="19" spans="2:23" ht="12.75" customHeight="1" thickBot="1" x14ac:dyDescent="0.4">
      <c r="B19" s="6" t="s">
        <v>27</v>
      </c>
      <c r="C19" s="82"/>
      <c r="D19" s="103">
        <f>D17+D15</f>
        <v>456015.76745454548</v>
      </c>
      <c r="E19" s="103">
        <f>E17+E15</f>
        <v>478816.55582727282</v>
      </c>
      <c r="F19" s="103">
        <f>F17+F15</f>
        <v>502757.38361863652</v>
      </c>
      <c r="G19" s="103">
        <f>G17+G15</f>
        <v>501521.91069263982</v>
      </c>
      <c r="I19" s="196">
        <f>D19</f>
        <v>456015.76745454548</v>
      </c>
      <c r="J19" s="197">
        <f t="shared" ref="J19:L19" si="9">E19</f>
        <v>478816.55582727282</v>
      </c>
      <c r="K19" s="197">
        <f t="shared" si="9"/>
        <v>502757.38361863652</v>
      </c>
      <c r="L19" s="198">
        <f t="shared" si="9"/>
        <v>501521.91069263982</v>
      </c>
      <c r="M19" s="138"/>
      <c r="N19" s="196">
        <f>D20</f>
        <v>451341</v>
      </c>
      <c r="O19" s="197">
        <f t="shared" ref="O19:Q19" si="10">E20</f>
        <v>476279</v>
      </c>
      <c r="P19" s="197">
        <f t="shared" si="10"/>
        <v>494627.60000000003</v>
      </c>
      <c r="Q19" s="198">
        <f t="shared" si="10"/>
        <v>501521.91069263982</v>
      </c>
      <c r="R19" s="138"/>
      <c r="S19" s="196">
        <f>N19-I19</f>
        <v>-4674.7674545454793</v>
      </c>
      <c r="T19" s="197">
        <f t="shared" ref="T19:V19" si="11">O19-J19</f>
        <v>-2537.5558272728231</v>
      </c>
      <c r="U19" s="197">
        <f t="shared" si="11"/>
        <v>-8129.7836186364875</v>
      </c>
      <c r="V19" s="227">
        <f t="shared" si="11"/>
        <v>0</v>
      </c>
      <c r="W19" s="234"/>
    </row>
    <row r="20" spans="2:23" ht="12.75" customHeight="1" thickTop="1" x14ac:dyDescent="0.35">
      <c r="C20" s="100" t="s">
        <v>224</v>
      </c>
      <c r="D20" s="105">
        <f>D18+D16</f>
        <v>451341</v>
      </c>
      <c r="E20" s="105">
        <f>E18+E16</f>
        <v>476279</v>
      </c>
      <c r="F20" s="105">
        <f>F18+F16</f>
        <v>494627.60000000003</v>
      </c>
      <c r="G20" s="105">
        <f>G18+G16</f>
        <v>501521.91069263982</v>
      </c>
      <c r="I20" s="216"/>
      <c r="J20" s="217"/>
      <c r="K20" s="217"/>
      <c r="L20" s="218"/>
      <c r="M20" s="138"/>
      <c r="N20" s="216"/>
      <c r="O20" s="217"/>
      <c r="P20" s="217"/>
      <c r="Q20" s="218"/>
      <c r="R20" s="138"/>
      <c r="S20" s="216"/>
      <c r="T20" s="217"/>
      <c r="U20" s="217"/>
      <c r="V20" s="229"/>
      <c r="W20" s="234"/>
    </row>
    <row r="21" spans="2:23" ht="12.75" hidden="1" customHeight="1" x14ac:dyDescent="0.35">
      <c r="B21" s="1" t="s">
        <v>34</v>
      </c>
      <c r="C21" s="80"/>
      <c r="D21" s="101"/>
      <c r="E21" s="109"/>
      <c r="F21" s="101"/>
      <c r="I21" s="196"/>
      <c r="J21" s="197"/>
      <c r="K21" s="197"/>
      <c r="L21" s="198"/>
      <c r="M21" s="138"/>
      <c r="N21" s="196"/>
      <c r="O21" s="197"/>
      <c r="P21" s="197"/>
      <c r="Q21" s="198"/>
      <c r="R21" s="138"/>
      <c r="S21" s="196"/>
      <c r="T21" s="197"/>
      <c r="U21" s="197"/>
      <c r="V21" s="227"/>
      <c r="W21" s="234"/>
    </row>
    <row r="22" spans="2:23" ht="12.75" customHeight="1" x14ac:dyDescent="0.35">
      <c r="B22" s="3" t="s">
        <v>28</v>
      </c>
      <c r="C22" s="83"/>
      <c r="D22" s="103">
        <v>105480</v>
      </c>
      <c r="E22" s="103">
        <v>110754</v>
      </c>
      <c r="F22" s="103">
        <v>110754</v>
      </c>
      <c r="G22" s="103">
        <f>'BASE - Pre CV-19'!O50</f>
        <v>116291.7</v>
      </c>
      <c r="I22" s="196">
        <f>D22</f>
        <v>105480</v>
      </c>
      <c r="J22" s="197">
        <f t="shared" ref="J22:L22" si="12">E22</f>
        <v>110754</v>
      </c>
      <c r="K22" s="197">
        <f t="shared" si="12"/>
        <v>110754</v>
      </c>
      <c r="L22" s="198">
        <f t="shared" si="12"/>
        <v>116291.7</v>
      </c>
      <c r="M22" s="138"/>
      <c r="N22" s="196">
        <f>D23</f>
        <v>112410</v>
      </c>
      <c r="O22" s="197">
        <f t="shared" ref="O22:Q22" si="13">E23</f>
        <v>114568</v>
      </c>
      <c r="P22" s="197">
        <f t="shared" si="13"/>
        <v>120296</v>
      </c>
      <c r="Q22" s="198">
        <f t="shared" si="13"/>
        <v>116291.7</v>
      </c>
      <c r="R22" s="138"/>
      <c r="S22" s="196">
        <f>N22-I22</f>
        <v>6930</v>
      </c>
      <c r="T22" s="197">
        <f t="shared" ref="T22:V22" si="14">O22-J22</f>
        <v>3814</v>
      </c>
      <c r="U22" s="197">
        <f t="shared" si="14"/>
        <v>9542</v>
      </c>
      <c r="V22" s="227">
        <f t="shared" si="14"/>
        <v>0</v>
      </c>
      <c r="W22" s="234"/>
    </row>
    <row r="23" spans="2:23" ht="12.75" customHeight="1" x14ac:dyDescent="0.35">
      <c r="C23" s="100" t="s">
        <v>224</v>
      </c>
      <c r="D23" s="105">
        <v>112410</v>
      </c>
      <c r="E23" s="105">
        <v>114568</v>
      </c>
      <c r="F23" s="105">
        <v>120296</v>
      </c>
      <c r="G23" s="105">
        <f>G22</f>
        <v>116291.7</v>
      </c>
      <c r="I23" s="216"/>
      <c r="J23" s="217"/>
      <c r="K23" s="217"/>
      <c r="L23" s="218"/>
      <c r="M23" s="138"/>
      <c r="N23" s="216"/>
      <c r="O23" s="217"/>
      <c r="P23" s="217"/>
      <c r="Q23" s="218"/>
      <c r="R23" s="138"/>
      <c r="S23" s="216"/>
      <c r="T23" s="217"/>
      <c r="U23" s="217"/>
      <c r="V23" s="229"/>
      <c r="W23" s="234"/>
    </row>
    <row r="24" spans="2:23" ht="12.75" customHeight="1" thickBot="1" x14ac:dyDescent="0.4">
      <c r="B24" s="6" t="s">
        <v>36</v>
      </c>
      <c r="C24" s="85"/>
      <c r="D24" s="103">
        <f>D22+D19</f>
        <v>561495.76745454548</v>
      </c>
      <c r="E24" s="103">
        <f>E22+E19</f>
        <v>589570.55582727282</v>
      </c>
      <c r="F24" s="103">
        <f>F22+F19</f>
        <v>613511.38361863652</v>
      </c>
      <c r="G24" s="103">
        <f>G22+G19</f>
        <v>617813.61069263984</v>
      </c>
      <c r="I24" s="196">
        <f>D24</f>
        <v>561495.76745454548</v>
      </c>
      <c r="J24" s="197">
        <f t="shared" ref="J24:L24" si="15">E24</f>
        <v>589570.55582727282</v>
      </c>
      <c r="K24" s="197">
        <f t="shared" si="15"/>
        <v>613511.38361863652</v>
      </c>
      <c r="L24" s="198">
        <f t="shared" si="15"/>
        <v>617813.61069263984</v>
      </c>
      <c r="M24" s="138"/>
      <c r="N24" s="196">
        <f>D25</f>
        <v>563751</v>
      </c>
      <c r="O24" s="197">
        <f t="shared" ref="O24:Q24" si="16">E25</f>
        <v>590847</v>
      </c>
      <c r="P24" s="197">
        <f t="shared" si="16"/>
        <v>614923.60000000009</v>
      </c>
      <c r="Q24" s="198">
        <f t="shared" si="16"/>
        <v>617813.61069263984</v>
      </c>
      <c r="R24" s="138"/>
      <c r="S24" s="196">
        <f>N24-I24</f>
        <v>2255.2325454545207</v>
      </c>
      <c r="T24" s="197">
        <f t="shared" ref="T24:V24" si="17">O24-J24</f>
        <v>1276.4441727271769</v>
      </c>
      <c r="U24" s="197">
        <f t="shared" si="17"/>
        <v>1412.2163813635707</v>
      </c>
      <c r="V24" s="227">
        <f t="shared" si="17"/>
        <v>0</v>
      </c>
      <c r="W24" s="234" t="s">
        <v>299</v>
      </c>
    </row>
    <row r="25" spans="2:23" ht="12.75" customHeight="1" thickTop="1" x14ac:dyDescent="0.35">
      <c r="C25" s="100" t="s">
        <v>224</v>
      </c>
      <c r="D25" s="105">
        <f>D23+D20</f>
        <v>563751</v>
      </c>
      <c r="E25" s="105">
        <f>E23+E20</f>
        <v>590847</v>
      </c>
      <c r="F25" s="105">
        <f>F23+F20</f>
        <v>614923.60000000009</v>
      </c>
      <c r="G25" s="105">
        <f>G23+G20</f>
        <v>617813.61069263984</v>
      </c>
      <c r="I25" s="216"/>
      <c r="J25" s="217"/>
      <c r="K25" s="217"/>
      <c r="L25" s="218"/>
      <c r="M25" s="138"/>
      <c r="N25" s="216"/>
      <c r="O25" s="217"/>
      <c r="P25" s="217"/>
      <c r="Q25" s="218"/>
      <c r="R25" s="138"/>
      <c r="S25" s="216"/>
      <c r="T25" s="217"/>
      <c r="U25" s="217"/>
      <c r="V25" s="229"/>
      <c r="W25" s="234"/>
    </row>
    <row r="26" spans="2:23" ht="12.75" customHeight="1" x14ac:dyDescent="0.35">
      <c r="B26" s="3" t="s">
        <v>37</v>
      </c>
      <c r="D26" s="106"/>
      <c r="E26" s="107"/>
      <c r="F26" s="108"/>
      <c r="I26" s="222"/>
      <c r="J26" s="223"/>
      <c r="K26" s="223"/>
      <c r="L26" s="224"/>
      <c r="M26" s="138"/>
      <c r="N26" s="222"/>
      <c r="O26" s="223"/>
      <c r="P26" s="223"/>
      <c r="Q26" s="224"/>
      <c r="R26" s="138"/>
      <c r="S26" s="222"/>
      <c r="T26" s="223"/>
      <c r="U26" s="223"/>
      <c r="V26" s="231"/>
      <c r="W26" s="234"/>
    </row>
    <row r="27" spans="2:23" ht="12.75" customHeight="1" x14ac:dyDescent="0.35">
      <c r="B27" s="1" t="s">
        <v>38</v>
      </c>
      <c r="C27" s="80"/>
      <c r="D27" s="101">
        <v>6300</v>
      </c>
      <c r="E27" s="109">
        <v>7000</v>
      </c>
      <c r="F27" s="101">
        <v>7500</v>
      </c>
      <c r="G27" s="32"/>
      <c r="I27" s="219"/>
      <c r="J27" s="220"/>
      <c r="K27" s="220"/>
      <c r="L27" s="221"/>
      <c r="M27" s="138"/>
      <c r="N27" s="219"/>
      <c r="O27" s="220"/>
      <c r="P27" s="220"/>
      <c r="Q27" s="221"/>
      <c r="R27" s="138"/>
      <c r="S27" s="219"/>
      <c r="T27" s="220"/>
      <c r="U27" s="220"/>
      <c r="V27" s="230"/>
      <c r="W27" s="234"/>
    </row>
    <row r="28" spans="2:23" ht="12.75" customHeight="1" x14ac:dyDescent="0.35">
      <c r="B28" s="5" t="s">
        <v>41</v>
      </c>
      <c r="C28" s="83"/>
      <c r="D28" s="103">
        <v>6300</v>
      </c>
      <c r="E28" s="103">
        <v>7000</v>
      </c>
      <c r="F28" s="103">
        <v>7500</v>
      </c>
      <c r="G28" s="103">
        <f>'BASE - Pre CV-19'!O58</f>
        <v>7650</v>
      </c>
      <c r="I28" s="196">
        <f>D28</f>
        <v>6300</v>
      </c>
      <c r="J28" s="197">
        <f t="shared" ref="J28:L28" si="18">E28</f>
        <v>7000</v>
      </c>
      <c r="K28" s="197">
        <f t="shared" si="18"/>
        <v>7500</v>
      </c>
      <c r="L28" s="198">
        <f t="shared" si="18"/>
        <v>7650</v>
      </c>
      <c r="M28" s="138"/>
      <c r="N28" s="196">
        <f>D29</f>
        <v>10856</v>
      </c>
      <c r="O28" s="197">
        <f t="shared" ref="O28:Q28" si="19">E29</f>
        <v>7000</v>
      </c>
      <c r="P28" s="197">
        <f t="shared" si="19"/>
        <v>7500</v>
      </c>
      <c r="Q28" s="198">
        <f t="shared" si="19"/>
        <v>7650</v>
      </c>
      <c r="R28" s="138"/>
      <c r="S28" s="196">
        <f>N28-I28</f>
        <v>4556</v>
      </c>
      <c r="T28" s="197">
        <f t="shared" ref="T28:V28" si="20">O28-J28</f>
        <v>0</v>
      </c>
      <c r="U28" s="197">
        <f t="shared" si="20"/>
        <v>0</v>
      </c>
      <c r="V28" s="227">
        <f t="shared" si="20"/>
        <v>0</v>
      </c>
      <c r="W28" s="234"/>
    </row>
    <row r="29" spans="2:23" ht="12.75" customHeight="1" x14ac:dyDescent="0.35">
      <c r="C29" s="100" t="s">
        <v>224</v>
      </c>
      <c r="D29" s="105">
        <v>10856</v>
      </c>
      <c r="E29" s="105">
        <v>7000</v>
      </c>
      <c r="F29" s="105">
        <v>7500</v>
      </c>
      <c r="G29" s="105">
        <f>G28</f>
        <v>7650</v>
      </c>
      <c r="I29" s="216"/>
      <c r="J29" s="217"/>
      <c r="K29" s="217"/>
      <c r="L29" s="218"/>
      <c r="M29" s="138"/>
      <c r="N29" s="216"/>
      <c r="O29" s="217"/>
      <c r="P29" s="217"/>
      <c r="Q29" s="218"/>
      <c r="R29" s="138"/>
      <c r="S29" s="216"/>
      <c r="T29" s="217"/>
      <c r="U29" s="217"/>
      <c r="V29" s="229"/>
      <c r="W29" s="234"/>
    </row>
    <row r="30" spans="2:23" ht="12.75" customHeight="1" x14ac:dyDescent="0.35">
      <c r="B30" s="3" t="s">
        <v>42</v>
      </c>
      <c r="C30" s="84"/>
      <c r="D30" s="106"/>
      <c r="E30" s="107"/>
      <c r="F30" s="108"/>
      <c r="I30" s="222"/>
      <c r="J30" s="223"/>
      <c r="K30" s="223"/>
      <c r="L30" s="224"/>
      <c r="M30" s="138"/>
      <c r="N30" s="222"/>
      <c r="O30" s="223"/>
      <c r="P30" s="223"/>
      <c r="Q30" s="224"/>
      <c r="R30" s="138"/>
      <c r="S30" s="222"/>
      <c r="T30" s="223"/>
      <c r="U30" s="223"/>
      <c r="V30" s="231"/>
      <c r="W30" s="234"/>
    </row>
    <row r="31" spans="2:23" ht="12.75" customHeight="1" x14ac:dyDescent="0.35">
      <c r="B31" s="1" t="s">
        <v>44</v>
      </c>
      <c r="C31" s="83"/>
      <c r="D31" s="103">
        <v>34000</v>
      </c>
      <c r="E31" s="103">
        <v>35000</v>
      </c>
      <c r="F31" s="103">
        <v>36000</v>
      </c>
      <c r="G31" s="103">
        <f>'BASE - Pre CV-19'!O64</f>
        <v>38000</v>
      </c>
      <c r="I31" s="196">
        <f>D31</f>
        <v>34000</v>
      </c>
      <c r="J31" s="197">
        <f t="shared" ref="J31:L31" si="21">E31</f>
        <v>35000</v>
      </c>
      <c r="K31" s="197">
        <f t="shared" si="21"/>
        <v>36000</v>
      </c>
      <c r="L31" s="198">
        <f t="shared" si="21"/>
        <v>38000</v>
      </c>
      <c r="M31" s="138"/>
      <c r="N31" s="196">
        <f>D32</f>
        <v>0</v>
      </c>
      <c r="O31" s="197">
        <f t="shared" ref="O31:Q31" si="22">E32</f>
        <v>35000</v>
      </c>
      <c r="P31" s="197">
        <f t="shared" si="22"/>
        <v>36000</v>
      </c>
      <c r="Q31" s="198">
        <f t="shared" si="22"/>
        <v>38000</v>
      </c>
      <c r="R31" s="138"/>
      <c r="S31" s="196">
        <f>N31-I31</f>
        <v>-34000</v>
      </c>
      <c r="T31" s="197">
        <f t="shared" ref="T31:V31" si="23">O31-J31</f>
        <v>0</v>
      </c>
      <c r="U31" s="197">
        <f t="shared" si="23"/>
        <v>0</v>
      </c>
      <c r="V31" s="227">
        <f t="shared" si="23"/>
        <v>0</v>
      </c>
      <c r="W31" s="234"/>
    </row>
    <row r="32" spans="2:23" ht="12.75" customHeight="1" x14ac:dyDescent="0.35">
      <c r="B32" s="290"/>
      <c r="C32" s="100" t="s">
        <v>224</v>
      </c>
      <c r="D32" s="113">
        <v>0</v>
      </c>
      <c r="E32" s="113">
        <v>35000</v>
      </c>
      <c r="F32" s="113">
        <v>36000</v>
      </c>
      <c r="G32" s="105">
        <f>G31</f>
        <v>38000</v>
      </c>
      <c r="I32" s="216"/>
      <c r="J32" s="217"/>
      <c r="K32" s="217"/>
      <c r="L32" s="218"/>
      <c r="M32" s="138"/>
      <c r="N32" s="216"/>
      <c r="O32" s="217"/>
      <c r="P32" s="217"/>
      <c r="Q32" s="218"/>
      <c r="R32" s="138"/>
      <c r="S32" s="216"/>
      <c r="T32" s="217"/>
      <c r="U32" s="217"/>
      <c r="V32" s="229"/>
      <c r="W32" s="234"/>
    </row>
    <row r="33" spans="2:23" ht="12.75" customHeight="1" x14ac:dyDescent="0.35">
      <c r="B33" s="1" t="s">
        <v>47</v>
      </c>
      <c r="C33" s="83"/>
      <c r="D33" s="103">
        <v>97416.709999999992</v>
      </c>
      <c r="E33" s="103">
        <v>0</v>
      </c>
      <c r="F33" s="103">
        <v>103000</v>
      </c>
      <c r="G33" s="103">
        <f>'BASE - Pre CV-19'!O69</f>
        <v>0</v>
      </c>
      <c r="I33" s="196">
        <f>D33</f>
        <v>97416.709999999992</v>
      </c>
      <c r="J33" s="197">
        <f t="shared" ref="J33:L33" si="24">E33</f>
        <v>0</v>
      </c>
      <c r="K33" s="197">
        <f t="shared" si="24"/>
        <v>103000</v>
      </c>
      <c r="L33" s="198">
        <f t="shared" si="24"/>
        <v>0</v>
      </c>
      <c r="M33" s="138"/>
      <c r="N33" s="196">
        <f>D34</f>
        <v>68880</v>
      </c>
      <c r="O33" s="197">
        <f t="shared" ref="O33:Q33" si="25">E34</f>
        <v>0</v>
      </c>
      <c r="P33" s="197">
        <f t="shared" si="25"/>
        <v>0</v>
      </c>
      <c r="Q33" s="198">
        <f t="shared" si="25"/>
        <v>0</v>
      </c>
      <c r="R33" s="138"/>
      <c r="S33" s="196">
        <f>N33-I33</f>
        <v>-28536.709999999992</v>
      </c>
      <c r="T33" s="197">
        <f t="shared" ref="T33:V33" si="26">O33-J33</f>
        <v>0</v>
      </c>
      <c r="U33" s="197">
        <f t="shared" si="26"/>
        <v>-103000</v>
      </c>
      <c r="V33" s="227">
        <f t="shared" si="26"/>
        <v>0</v>
      </c>
      <c r="W33" s="234"/>
    </row>
    <row r="34" spans="2:23" ht="12.75" customHeight="1" x14ac:dyDescent="0.35">
      <c r="B34" s="290"/>
      <c r="C34" s="100" t="s">
        <v>224</v>
      </c>
      <c r="D34" s="113">
        <v>68880</v>
      </c>
      <c r="E34" s="113"/>
      <c r="F34" s="113">
        <v>0</v>
      </c>
      <c r="G34" s="105">
        <f>G33</f>
        <v>0</v>
      </c>
      <c r="I34" s="216"/>
      <c r="J34" s="217"/>
      <c r="K34" s="217"/>
      <c r="L34" s="218"/>
      <c r="M34" s="138"/>
      <c r="N34" s="216"/>
      <c r="O34" s="217"/>
      <c r="P34" s="217"/>
      <c r="Q34" s="218"/>
      <c r="R34" s="138"/>
      <c r="S34" s="216"/>
      <c r="T34" s="217"/>
      <c r="U34" s="217"/>
      <c r="V34" s="229"/>
      <c r="W34" s="234"/>
    </row>
    <row r="35" spans="2:23" ht="12.75" customHeight="1" x14ac:dyDescent="0.35">
      <c r="B35" s="1" t="s">
        <v>51</v>
      </c>
      <c r="C35" s="83"/>
      <c r="D35" s="103">
        <v>0</v>
      </c>
      <c r="E35" s="103">
        <v>127810.85</v>
      </c>
      <c r="F35" s="103"/>
      <c r="G35" s="103">
        <f>'BASE - Pre CV-19'!O74</f>
        <v>133576.39250000002</v>
      </c>
      <c r="I35" s="196">
        <f>D35</f>
        <v>0</v>
      </c>
      <c r="J35" s="197">
        <f t="shared" ref="J35:L35" si="27">E35</f>
        <v>127810.85</v>
      </c>
      <c r="K35" s="197">
        <f t="shared" si="27"/>
        <v>0</v>
      </c>
      <c r="L35" s="198">
        <f t="shared" si="27"/>
        <v>133576.39250000002</v>
      </c>
      <c r="M35" s="138"/>
      <c r="N35" s="196">
        <f>D36</f>
        <v>0</v>
      </c>
      <c r="O35" s="197">
        <f t="shared" ref="O35:Q35" si="28">E36</f>
        <v>0</v>
      </c>
      <c r="P35" s="197">
        <f t="shared" si="28"/>
        <v>127811</v>
      </c>
      <c r="Q35" s="198">
        <f t="shared" si="28"/>
        <v>133576.39250000002</v>
      </c>
      <c r="R35" s="138"/>
      <c r="S35" s="196">
        <f>N35-I35</f>
        <v>0</v>
      </c>
      <c r="T35" s="197">
        <f t="shared" ref="T35:V35" si="29">O35-J35</f>
        <v>-127810.85</v>
      </c>
      <c r="U35" s="197">
        <f t="shared" si="29"/>
        <v>127811</v>
      </c>
      <c r="V35" s="227">
        <f t="shared" si="29"/>
        <v>0</v>
      </c>
      <c r="W35" s="234"/>
    </row>
    <row r="36" spans="2:23" ht="12.75" customHeight="1" x14ac:dyDescent="0.35">
      <c r="B36" s="290"/>
      <c r="C36" s="100" t="s">
        <v>224</v>
      </c>
      <c r="D36" s="113">
        <v>0</v>
      </c>
      <c r="E36" s="113"/>
      <c r="F36" s="113">
        <v>127811</v>
      </c>
      <c r="G36" s="105">
        <f>G35</f>
        <v>133576.39250000002</v>
      </c>
      <c r="I36" s="216"/>
      <c r="J36" s="217"/>
      <c r="K36" s="217"/>
      <c r="L36" s="218"/>
      <c r="M36" s="138"/>
      <c r="N36" s="216"/>
      <c r="O36" s="217"/>
      <c r="P36" s="217"/>
      <c r="Q36" s="218"/>
      <c r="R36" s="138"/>
      <c r="S36" s="216"/>
      <c r="T36" s="217"/>
      <c r="U36" s="217"/>
      <c r="V36" s="229"/>
      <c r="W36" s="234"/>
    </row>
    <row r="37" spans="2:23" ht="12.75" customHeight="1" x14ac:dyDescent="0.35">
      <c r="B37" s="1" t="s">
        <v>55</v>
      </c>
      <c r="C37" s="83"/>
      <c r="D37" s="103">
        <v>0</v>
      </c>
      <c r="E37" s="103">
        <v>201960</v>
      </c>
      <c r="F37" s="103">
        <v>0</v>
      </c>
      <c r="G37" s="103">
        <f>'BASE - Pre CV-19'!O79</f>
        <v>208508.40000000002</v>
      </c>
      <c r="I37" s="196">
        <f>D37</f>
        <v>0</v>
      </c>
      <c r="J37" s="197">
        <f t="shared" ref="J37:L37" si="30">E37</f>
        <v>201960</v>
      </c>
      <c r="K37" s="197">
        <f t="shared" si="30"/>
        <v>0</v>
      </c>
      <c r="L37" s="198">
        <f t="shared" si="30"/>
        <v>208508.40000000002</v>
      </c>
      <c r="M37" s="138"/>
      <c r="N37" s="196">
        <f>D38</f>
        <v>0</v>
      </c>
      <c r="O37" s="197">
        <f t="shared" ref="O37:Q37" si="31">E38</f>
        <v>0</v>
      </c>
      <c r="P37" s="197">
        <f t="shared" si="31"/>
        <v>0</v>
      </c>
      <c r="Q37" s="198">
        <f t="shared" si="31"/>
        <v>208508.40000000002</v>
      </c>
      <c r="R37" s="138"/>
      <c r="S37" s="196">
        <f>N37-I37</f>
        <v>0</v>
      </c>
      <c r="T37" s="197">
        <f t="shared" ref="T37:V37" si="32">O37-J37</f>
        <v>-201960</v>
      </c>
      <c r="U37" s="197">
        <f t="shared" si="32"/>
        <v>0</v>
      </c>
      <c r="V37" s="227">
        <f t="shared" si="32"/>
        <v>0</v>
      </c>
      <c r="W37" s="234" t="s">
        <v>320</v>
      </c>
    </row>
    <row r="38" spans="2:23" ht="12.75" customHeight="1" x14ac:dyDescent="0.35">
      <c r="B38" s="290"/>
      <c r="C38" s="100" t="s">
        <v>224</v>
      </c>
      <c r="D38" s="113"/>
      <c r="E38" s="113">
        <v>0</v>
      </c>
      <c r="F38" s="113"/>
      <c r="G38" s="105">
        <f>G37</f>
        <v>208508.40000000002</v>
      </c>
      <c r="I38" s="216"/>
      <c r="J38" s="217"/>
      <c r="K38" s="217"/>
      <c r="L38" s="218"/>
      <c r="M38" s="138"/>
      <c r="N38" s="216"/>
      <c r="O38" s="217"/>
      <c r="P38" s="217"/>
      <c r="Q38" s="218"/>
      <c r="R38" s="138"/>
      <c r="S38" s="216"/>
      <c r="T38" s="217"/>
      <c r="U38" s="217"/>
      <c r="V38" s="229"/>
      <c r="W38" s="234"/>
    </row>
    <row r="39" spans="2:23" ht="12.75" customHeight="1" x14ac:dyDescent="0.35">
      <c r="B39" s="1" t="s">
        <v>59</v>
      </c>
      <c r="C39" s="83"/>
      <c r="D39" s="103">
        <v>135000</v>
      </c>
      <c r="E39" s="103">
        <v>0</v>
      </c>
      <c r="F39" s="103">
        <v>5000</v>
      </c>
      <c r="G39" s="103">
        <f>'BASE - Pre CV-19'!O84</f>
        <v>5000</v>
      </c>
      <c r="I39" s="196">
        <f>D39</f>
        <v>135000</v>
      </c>
      <c r="J39" s="197">
        <f t="shared" ref="J39:L39" si="33">E39</f>
        <v>0</v>
      </c>
      <c r="K39" s="197">
        <f t="shared" si="33"/>
        <v>5000</v>
      </c>
      <c r="L39" s="198">
        <f t="shared" si="33"/>
        <v>5000</v>
      </c>
      <c r="M39" s="138"/>
      <c r="N39" s="196">
        <f>D40</f>
        <v>114827</v>
      </c>
      <c r="O39" s="197">
        <f t="shared" ref="O39:Q39" si="34">E40</f>
        <v>0</v>
      </c>
      <c r="P39" s="197">
        <f t="shared" si="34"/>
        <v>5000</v>
      </c>
      <c r="Q39" s="198">
        <f t="shared" si="34"/>
        <v>5000</v>
      </c>
      <c r="R39" s="138"/>
      <c r="S39" s="196">
        <f>N39-I39</f>
        <v>-20173</v>
      </c>
      <c r="T39" s="197">
        <f t="shared" ref="T39:V39" si="35">O39-J39</f>
        <v>0</v>
      </c>
      <c r="U39" s="197">
        <f t="shared" si="35"/>
        <v>0</v>
      </c>
      <c r="V39" s="227">
        <f t="shared" si="35"/>
        <v>0</v>
      </c>
      <c r="W39" s="234"/>
    </row>
    <row r="40" spans="2:23" ht="12.75" customHeight="1" x14ac:dyDescent="0.35">
      <c r="B40" s="98"/>
      <c r="C40" s="100" t="s">
        <v>224</v>
      </c>
      <c r="D40" s="113">
        <v>114827</v>
      </c>
      <c r="E40" s="113"/>
      <c r="F40" s="113">
        <v>5000</v>
      </c>
      <c r="G40" s="105">
        <f>G39</f>
        <v>5000</v>
      </c>
      <c r="I40" s="196"/>
      <c r="J40" s="197"/>
      <c r="K40" s="197"/>
      <c r="L40" s="198"/>
      <c r="M40" s="138"/>
      <c r="N40" s="196"/>
      <c r="O40" s="197"/>
      <c r="P40" s="197"/>
      <c r="Q40" s="198"/>
      <c r="R40" s="138"/>
      <c r="S40" s="196"/>
      <c r="T40" s="197"/>
      <c r="U40" s="197"/>
      <c r="V40" s="227"/>
      <c r="W40" s="234"/>
    </row>
    <row r="41" spans="2:23" ht="12.75" customHeight="1" x14ac:dyDescent="0.35">
      <c r="C41" s="84"/>
      <c r="D41" s="106"/>
      <c r="E41" s="107"/>
      <c r="F41" s="108"/>
      <c r="I41" s="196"/>
      <c r="J41" s="197"/>
      <c r="K41" s="197"/>
      <c r="L41" s="198"/>
      <c r="M41" s="138"/>
      <c r="N41" s="196"/>
      <c r="O41" s="197"/>
      <c r="P41" s="197"/>
      <c r="Q41" s="198"/>
      <c r="R41" s="138"/>
      <c r="S41" s="196"/>
      <c r="T41" s="197"/>
      <c r="U41" s="197"/>
      <c r="V41" s="227"/>
      <c r="W41" s="234"/>
    </row>
    <row r="42" spans="2:23" ht="12.75" customHeight="1" thickBot="1" x14ac:dyDescent="0.4">
      <c r="B42" s="6" t="s">
        <v>62</v>
      </c>
      <c r="C42" s="85"/>
      <c r="D42" s="116">
        <f>D39+D37+D35+D33+D31</f>
        <v>266416.70999999996</v>
      </c>
      <c r="E42" s="116">
        <f>E39+E37+E35+E33+E31</f>
        <v>364770.85</v>
      </c>
      <c r="F42" s="116">
        <f>F39+F37+F35+F33+F31</f>
        <v>144000</v>
      </c>
      <c r="G42" s="103">
        <f>'BASE - Pre CV-19'!O86</f>
        <v>385084.79250000004</v>
      </c>
      <c r="I42" s="196">
        <f>D42</f>
        <v>266416.70999999996</v>
      </c>
      <c r="J42" s="197">
        <f t="shared" ref="J42:L42" si="36">E42</f>
        <v>364770.85</v>
      </c>
      <c r="K42" s="197">
        <f t="shared" si="36"/>
        <v>144000</v>
      </c>
      <c r="L42" s="198">
        <f t="shared" si="36"/>
        <v>385084.79250000004</v>
      </c>
      <c r="M42" s="138"/>
      <c r="N42" s="196">
        <f>D43</f>
        <v>183707</v>
      </c>
      <c r="O42" s="197">
        <f t="shared" ref="O42:Q42" si="37">E43</f>
        <v>35000</v>
      </c>
      <c r="P42" s="197">
        <f t="shared" si="37"/>
        <v>168811</v>
      </c>
      <c r="Q42" s="198">
        <f t="shared" si="37"/>
        <v>385084.79250000004</v>
      </c>
      <c r="R42" s="138"/>
      <c r="S42" s="196">
        <f>N42-I42</f>
        <v>-82709.709999999963</v>
      </c>
      <c r="T42" s="197">
        <f t="shared" ref="T42:V42" si="38">O42-J42</f>
        <v>-329770.84999999998</v>
      </c>
      <c r="U42" s="197">
        <f t="shared" si="38"/>
        <v>24811</v>
      </c>
      <c r="V42" s="227">
        <f t="shared" si="38"/>
        <v>0</v>
      </c>
      <c r="W42" s="234" t="s">
        <v>300</v>
      </c>
    </row>
    <row r="43" spans="2:23" ht="12.75" customHeight="1" thickTop="1" x14ac:dyDescent="0.35">
      <c r="B43" s="98"/>
      <c r="C43" s="100" t="s">
        <v>224</v>
      </c>
      <c r="D43" s="113">
        <f>D40+D38+D36+D34+D32</f>
        <v>183707</v>
      </c>
      <c r="E43" s="113">
        <f>E40+E38+E36+E34+E32</f>
        <v>35000</v>
      </c>
      <c r="F43" s="113">
        <f>F40+F38+F36+F34+F32</f>
        <v>168811</v>
      </c>
      <c r="G43" s="105">
        <f>G42</f>
        <v>385084.79250000004</v>
      </c>
      <c r="I43" s="216"/>
      <c r="J43" s="217"/>
      <c r="K43" s="217"/>
      <c r="L43" s="218"/>
      <c r="M43" s="138"/>
      <c r="N43" s="216"/>
      <c r="O43" s="217"/>
      <c r="P43" s="217"/>
      <c r="Q43" s="218"/>
      <c r="R43" s="138"/>
      <c r="S43" s="216"/>
      <c r="T43" s="217"/>
      <c r="U43" s="217"/>
      <c r="V43" s="229"/>
      <c r="W43" s="234"/>
    </row>
    <row r="44" spans="2:23" ht="12.75" customHeight="1" x14ac:dyDescent="0.35">
      <c r="C44" s="84"/>
      <c r="D44" s="106"/>
      <c r="E44" s="107"/>
      <c r="F44" s="108"/>
      <c r="I44" s="219"/>
      <c r="J44" s="220"/>
      <c r="K44" s="220"/>
      <c r="L44" s="221"/>
      <c r="M44" s="138"/>
      <c r="N44" s="219"/>
      <c r="O44" s="220"/>
      <c r="P44" s="220"/>
      <c r="Q44" s="221"/>
      <c r="R44" s="138"/>
      <c r="S44" s="219"/>
      <c r="T44" s="220"/>
      <c r="U44" s="220"/>
      <c r="V44" s="230"/>
      <c r="W44" s="234"/>
    </row>
    <row r="45" spans="2:23" ht="12.75" customHeight="1" thickBot="1" x14ac:dyDescent="0.4">
      <c r="B45" s="6" t="s">
        <v>63</v>
      </c>
      <c r="C45" s="85"/>
      <c r="D45" s="103">
        <f>D42+D28+D24+D12</f>
        <v>879912.47745454544</v>
      </c>
      <c r="E45" s="103">
        <f>E42+E28+E24+E12</f>
        <v>998041.4058272728</v>
      </c>
      <c r="F45" s="103">
        <f>F42+F28+F24+F12</f>
        <v>801711.38361863652</v>
      </c>
      <c r="G45" s="103">
        <f>'BASE - Pre CV-19'!O88</f>
        <v>1034248.4031926398</v>
      </c>
      <c r="H45" s="106">
        <f>G42+G28+G24+G12</f>
        <v>1034248.4031926398</v>
      </c>
      <c r="I45" s="196">
        <f>D45</f>
        <v>879912.47745454544</v>
      </c>
      <c r="J45" s="197">
        <f t="shared" ref="J45:L45" si="39">E45</f>
        <v>998041.4058272728</v>
      </c>
      <c r="K45" s="197">
        <f t="shared" si="39"/>
        <v>801711.38361863652</v>
      </c>
      <c r="L45" s="198">
        <f t="shared" si="39"/>
        <v>1034248.4031926398</v>
      </c>
      <c r="M45" s="138"/>
      <c r="N45" s="196">
        <f>D46</f>
        <v>792298</v>
      </c>
      <c r="O45" s="197">
        <f t="shared" ref="O45:Q45" si="40">E46</f>
        <v>660347</v>
      </c>
      <c r="P45" s="197">
        <f t="shared" si="40"/>
        <v>818734.60000000009</v>
      </c>
      <c r="Q45" s="198">
        <f t="shared" si="40"/>
        <v>1034248.4031926398</v>
      </c>
      <c r="R45" s="138"/>
      <c r="S45" s="196">
        <f>N45-I45</f>
        <v>-87614.477454545442</v>
      </c>
      <c r="T45" s="197">
        <f t="shared" ref="T45:V45" si="41">O45-J45</f>
        <v>-337694.4058272728</v>
      </c>
      <c r="U45" s="197">
        <f t="shared" si="41"/>
        <v>17023.216381363571</v>
      </c>
      <c r="V45" s="227">
        <f t="shared" si="41"/>
        <v>0</v>
      </c>
      <c r="W45" s="234"/>
    </row>
    <row r="46" spans="2:23" ht="12.75" customHeight="1" thickTop="1" x14ac:dyDescent="0.35">
      <c r="B46" s="98"/>
      <c r="C46" s="100" t="s">
        <v>224</v>
      </c>
      <c r="D46" s="113">
        <f>D43+D29+D25+D13</f>
        <v>792298</v>
      </c>
      <c r="E46" s="113">
        <f>E43+E29+E25+E13</f>
        <v>660347</v>
      </c>
      <c r="F46" s="113">
        <f>F43+F29+F25+F13</f>
        <v>818734.60000000009</v>
      </c>
      <c r="G46" s="105">
        <f>G43+G29+G25+G13</f>
        <v>1034248.4031926398</v>
      </c>
      <c r="I46" s="216"/>
      <c r="J46" s="217"/>
      <c r="K46" s="217"/>
      <c r="L46" s="218"/>
      <c r="M46" s="138"/>
      <c r="N46" s="216"/>
      <c r="O46" s="217"/>
      <c r="P46" s="217"/>
      <c r="Q46" s="218"/>
      <c r="R46" s="138"/>
      <c r="S46" s="216"/>
      <c r="T46" s="217"/>
      <c r="U46" s="217"/>
      <c r="V46" s="229"/>
      <c r="W46" s="234"/>
    </row>
    <row r="47" spans="2:23" ht="12.75" customHeight="1" x14ac:dyDescent="0.35">
      <c r="B47" s="98"/>
      <c r="C47" s="99"/>
      <c r="D47" s="115"/>
      <c r="E47" s="115"/>
      <c r="F47" s="116"/>
      <c r="I47" s="222"/>
      <c r="J47" s="223"/>
      <c r="K47" s="223"/>
      <c r="L47" s="224"/>
      <c r="M47" s="138"/>
      <c r="N47" s="222"/>
      <c r="O47" s="223"/>
      <c r="P47" s="223"/>
      <c r="Q47" s="224"/>
      <c r="R47" s="138"/>
      <c r="S47" s="222"/>
      <c r="T47" s="223"/>
      <c r="U47" s="223"/>
      <c r="V47" s="231"/>
      <c r="W47" s="234"/>
    </row>
    <row r="48" spans="2:23" ht="12.75" customHeight="1" x14ac:dyDescent="0.35">
      <c r="B48" s="3" t="s">
        <v>65</v>
      </c>
      <c r="D48" s="106"/>
      <c r="E48" s="107"/>
      <c r="F48" s="108"/>
      <c r="I48" s="222"/>
      <c r="J48" s="223"/>
      <c r="K48" s="223"/>
      <c r="L48" s="224"/>
      <c r="M48" s="138"/>
      <c r="N48" s="222"/>
      <c r="O48" s="223"/>
      <c r="P48" s="223"/>
      <c r="Q48" s="224"/>
      <c r="R48" s="138"/>
      <c r="S48" s="222"/>
      <c r="T48" s="223"/>
      <c r="U48" s="223"/>
      <c r="V48" s="231"/>
      <c r="W48" s="234"/>
    </row>
    <row r="49" spans="2:23" ht="12.75" customHeight="1" x14ac:dyDescent="0.35">
      <c r="B49" s="3"/>
      <c r="D49" s="106"/>
      <c r="E49" s="107"/>
      <c r="F49" s="108"/>
      <c r="I49" s="222"/>
      <c r="J49" s="223"/>
      <c r="K49" s="223"/>
      <c r="L49" s="224"/>
      <c r="M49" s="138"/>
      <c r="N49" s="222"/>
      <c r="O49" s="223"/>
      <c r="P49" s="223"/>
      <c r="Q49" s="224"/>
      <c r="R49" s="138"/>
      <c r="S49" s="222"/>
      <c r="T49" s="223"/>
      <c r="U49" s="223"/>
      <c r="V49" s="231"/>
      <c r="W49" s="234"/>
    </row>
    <row r="50" spans="2:23" ht="12.75" customHeight="1" x14ac:dyDescent="0.35">
      <c r="B50" t="s">
        <v>226</v>
      </c>
      <c r="D50" s="105">
        <v>97066</v>
      </c>
      <c r="E50" s="107"/>
      <c r="F50" s="108"/>
      <c r="I50" s="219"/>
      <c r="J50" s="220"/>
      <c r="K50" s="220"/>
      <c r="L50" s="221"/>
      <c r="M50" s="138"/>
      <c r="N50" s="219"/>
      <c r="O50" s="220"/>
      <c r="P50" s="220"/>
      <c r="Q50" s="221"/>
      <c r="R50" s="138"/>
      <c r="S50" s="219"/>
      <c r="T50" s="220"/>
      <c r="U50" s="220"/>
      <c r="V50" s="230"/>
      <c r="W50" s="234"/>
    </row>
    <row r="51" spans="2:23" ht="12.75" customHeight="1" x14ac:dyDescent="0.35">
      <c r="B51" s="3" t="s">
        <v>225</v>
      </c>
      <c r="D51" s="103">
        <v>66700</v>
      </c>
      <c r="E51" s="103">
        <v>65834</v>
      </c>
      <c r="F51" s="103">
        <v>68990</v>
      </c>
      <c r="G51" s="103">
        <f>'BASE - Pre CV-19'!O95+'BASE - Pre CV-19'!O96+'BASE - Pre CV-19'!O100</f>
        <v>66985.125599999999</v>
      </c>
      <c r="I51" s="196">
        <f>D51</f>
        <v>66700</v>
      </c>
      <c r="J51" s="197">
        <f t="shared" ref="J51:L51" si="42">E51</f>
        <v>65834</v>
      </c>
      <c r="K51" s="197">
        <f t="shared" si="42"/>
        <v>68990</v>
      </c>
      <c r="L51" s="198">
        <f t="shared" si="42"/>
        <v>66985.125599999999</v>
      </c>
      <c r="M51" s="138"/>
      <c r="N51" s="196">
        <f>D52</f>
        <v>54993</v>
      </c>
      <c r="O51" s="197">
        <f t="shared" ref="O51:Q51" si="43">E52</f>
        <v>65834</v>
      </c>
      <c r="P51" s="197">
        <f t="shared" si="43"/>
        <v>68990</v>
      </c>
      <c r="Q51" s="198">
        <f t="shared" si="43"/>
        <v>66985.125599999999</v>
      </c>
      <c r="R51" s="138"/>
      <c r="S51" s="196">
        <f>N51-I51</f>
        <v>-11707</v>
      </c>
      <c r="T51" s="197">
        <f t="shared" ref="T51:V51" si="44">O51-J51</f>
        <v>0</v>
      </c>
      <c r="U51" s="197">
        <f t="shared" si="44"/>
        <v>0</v>
      </c>
      <c r="V51" s="227">
        <f t="shared" si="44"/>
        <v>0</v>
      </c>
      <c r="W51" s="234"/>
    </row>
    <row r="52" spans="2:23" ht="12.75" customHeight="1" x14ac:dyDescent="0.35">
      <c r="B52" s="3"/>
      <c r="C52" s="100" t="s">
        <v>224</v>
      </c>
      <c r="D52" s="105">
        <v>54993</v>
      </c>
      <c r="E52" s="105">
        <v>65834</v>
      </c>
      <c r="F52" s="105">
        <v>68990</v>
      </c>
      <c r="G52" s="105">
        <f>G51</f>
        <v>66985.125599999999</v>
      </c>
      <c r="I52" s="216"/>
      <c r="J52" s="217"/>
      <c r="K52" s="217"/>
      <c r="L52" s="218"/>
      <c r="M52" s="138"/>
      <c r="N52" s="216"/>
      <c r="O52" s="217"/>
      <c r="P52" s="217"/>
      <c r="Q52" s="218"/>
      <c r="R52" s="138"/>
      <c r="S52" s="216"/>
      <c r="T52" s="217"/>
      <c r="U52" s="217"/>
      <c r="V52" s="229"/>
      <c r="W52" s="234"/>
    </row>
    <row r="53" spans="2:23" ht="12.75" customHeight="1" x14ac:dyDescent="0.35">
      <c r="B53" s="3" t="s">
        <v>73</v>
      </c>
      <c r="C53" s="33"/>
      <c r="D53" s="103">
        <v>35391.565799999997</v>
      </c>
      <c r="E53" s="103">
        <v>36821.734484000001</v>
      </c>
      <c r="F53" s="103">
        <v>38329.059794319997</v>
      </c>
      <c r="G53" s="103">
        <f>'BASE - Pre CV-19'!O115</f>
        <v>40606.326298433603</v>
      </c>
      <c r="I53" s="196">
        <f>D53</f>
        <v>35391.565799999997</v>
      </c>
      <c r="J53" s="197">
        <f t="shared" ref="J53:L53" si="45">E53</f>
        <v>36821.734484000001</v>
      </c>
      <c r="K53" s="197">
        <f t="shared" si="45"/>
        <v>38329.059794319997</v>
      </c>
      <c r="L53" s="198">
        <f t="shared" si="45"/>
        <v>40606.326298433603</v>
      </c>
      <c r="M53" s="138"/>
      <c r="N53" s="196">
        <f>D54</f>
        <v>34069</v>
      </c>
      <c r="O53" s="197">
        <f t="shared" ref="O53:Q53" si="46">E54</f>
        <v>40797</v>
      </c>
      <c r="P53" s="197">
        <f t="shared" si="46"/>
        <v>38330</v>
      </c>
      <c r="Q53" s="198">
        <f t="shared" si="46"/>
        <v>40606.326298433603</v>
      </c>
      <c r="R53" s="138"/>
      <c r="S53" s="196">
        <f>N53-I53</f>
        <v>-1322.5657999999967</v>
      </c>
      <c r="T53" s="197">
        <f t="shared" ref="T53:V53" si="47">O53-J53</f>
        <v>3975.2655159999995</v>
      </c>
      <c r="U53" s="197">
        <f t="shared" si="47"/>
        <v>0.94020568000269122</v>
      </c>
      <c r="V53" s="227">
        <f t="shared" si="47"/>
        <v>0</v>
      </c>
      <c r="W53" s="234"/>
    </row>
    <row r="54" spans="2:23" ht="12.75" customHeight="1" x14ac:dyDescent="0.35">
      <c r="B54" s="98"/>
      <c r="C54" s="100" t="s">
        <v>224</v>
      </c>
      <c r="D54" s="113">
        <v>34069</v>
      </c>
      <c r="E54" s="113">
        <v>40797</v>
      </c>
      <c r="F54" s="113">
        <v>38330</v>
      </c>
      <c r="G54" s="105">
        <f>G53</f>
        <v>40606.326298433603</v>
      </c>
      <c r="I54" s="216"/>
      <c r="J54" s="217"/>
      <c r="K54" s="217"/>
      <c r="L54" s="218"/>
      <c r="M54" s="138"/>
      <c r="N54" s="216"/>
      <c r="O54" s="217"/>
      <c r="P54" s="217"/>
      <c r="Q54" s="218"/>
      <c r="R54" s="138"/>
      <c r="S54" s="216"/>
      <c r="T54" s="217"/>
      <c r="U54" s="217"/>
      <c r="V54" s="229"/>
      <c r="W54" s="234"/>
    </row>
    <row r="55" spans="2:23" ht="12.75" customHeight="1" x14ac:dyDescent="0.35">
      <c r="B55" s="3" t="s">
        <v>85</v>
      </c>
      <c r="C55" s="33"/>
      <c r="D55" s="103">
        <v>293552</v>
      </c>
      <c r="E55" s="103">
        <v>302669.54000000004</v>
      </c>
      <c r="F55" s="103">
        <v>311786.00579999998</v>
      </c>
      <c r="G55" s="103">
        <f>'BASE - Pre CV-19'!O129</f>
        <v>321185.30402600003</v>
      </c>
      <c r="I55" s="196">
        <f>D55</f>
        <v>293552</v>
      </c>
      <c r="J55" s="197">
        <f t="shared" ref="J55:L55" si="48">E55</f>
        <v>302669.54000000004</v>
      </c>
      <c r="K55" s="197">
        <f t="shared" si="48"/>
        <v>311786.00579999998</v>
      </c>
      <c r="L55" s="198">
        <f t="shared" si="48"/>
        <v>321185.30402600003</v>
      </c>
      <c r="M55" s="138"/>
      <c r="N55" s="196">
        <f>D56</f>
        <v>257938</v>
      </c>
      <c r="O55" s="197">
        <f t="shared" ref="O55:Q55" si="49">E56</f>
        <v>302670</v>
      </c>
      <c r="P55" s="197">
        <f t="shared" si="49"/>
        <v>311786</v>
      </c>
      <c r="Q55" s="198">
        <f t="shared" si="49"/>
        <v>321185.30402600003</v>
      </c>
      <c r="R55" s="138"/>
      <c r="S55" s="196">
        <f>N55-I55</f>
        <v>-35614</v>
      </c>
      <c r="T55" s="197">
        <f t="shared" ref="T55:V55" si="50">O55-J55</f>
        <v>0.4599999999627471</v>
      </c>
      <c r="U55" s="197">
        <f t="shared" si="50"/>
        <v>-5.799999984446913E-3</v>
      </c>
      <c r="V55" s="227">
        <f t="shared" si="50"/>
        <v>0</v>
      </c>
      <c r="W55" s="234"/>
    </row>
    <row r="56" spans="2:23" ht="12.75" customHeight="1" x14ac:dyDescent="0.35">
      <c r="B56" s="98"/>
      <c r="C56" s="100" t="s">
        <v>224</v>
      </c>
      <c r="D56" s="113">
        <v>257938</v>
      </c>
      <c r="E56" s="113">
        <v>302670</v>
      </c>
      <c r="F56" s="113">
        <v>311786</v>
      </c>
      <c r="G56" s="105">
        <f>G55</f>
        <v>321185.30402600003</v>
      </c>
      <c r="I56" s="216"/>
      <c r="J56" s="217"/>
      <c r="K56" s="217"/>
      <c r="L56" s="218"/>
      <c r="M56" s="138"/>
      <c r="N56" s="216"/>
      <c r="O56" s="217"/>
      <c r="P56" s="217"/>
      <c r="Q56" s="218"/>
      <c r="R56" s="138"/>
      <c r="S56" s="216"/>
      <c r="T56" s="217"/>
      <c r="U56" s="217"/>
      <c r="V56" s="229"/>
      <c r="W56" s="234"/>
    </row>
    <row r="57" spans="2:23" ht="12.75" customHeight="1" x14ac:dyDescent="0.35">
      <c r="B57" s="3" t="s">
        <v>98</v>
      </c>
      <c r="C57" s="33"/>
      <c r="D57" s="103">
        <v>94932</v>
      </c>
      <c r="E57" s="103">
        <v>99678.6</v>
      </c>
      <c r="F57" s="103">
        <v>99678.6</v>
      </c>
      <c r="G57" s="103">
        <f>'BASE - Pre CV-19'!O136</f>
        <v>104662.53</v>
      </c>
      <c r="I57" s="196">
        <f>D57</f>
        <v>94932</v>
      </c>
      <c r="J57" s="197">
        <f t="shared" ref="J57:L57" si="51">E57</f>
        <v>99678.6</v>
      </c>
      <c r="K57" s="197">
        <f t="shared" si="51"/>
        <v>99678.6</v>
      </c>
      <c r="L57" s="198">
        <f t="shared" si="51"/>
        <v>104662.53</v>
      </c>
      <c r="M57" s="138"/>
      <c r="N57" s="196">
        <f>D58</f>
        <v>100854</v>
      </c>
      <c r="O57" s="197">
        <f t="shared" ref="O57:Q57" si="52">E58</f>
        <v>99678</v>
      </c>
      <c r="P57" s="197">
        <f t="shared" si="52"/>
        <v>99678</v>
      </c>
      <c r="Q57" s="198">
        <f t="shared" si="52"/>
        <v>104662.53</v>
      </c>
      <c r="R57" s="138"/>
      <c r="S57" s="196">
        <f>N57-I57</f>
        <v>5922</v>
      </c>
      <c r="T57" s="197">
        <f t="shared" ref="T57:V57" si="53">O57-J57</f>
        <v>-0.60000000000582077</v>
      </c>
      <c r="U57" s="197">
        <f t="shared" si="53"/>
        <v>-0.60000000000582077</v>
      </c>
      <c r="V57" s="227">
        <f t="shared" si="53"/>
        <v>0</v>
      </c>
      <c r="W57" s="234"/>
    </row>
    <row r="58" spans="2:23" ht="12.75" customHeight="1" x14ac:dyDescent="0.35">
      <c r="C58" s="100" t="s">
        <v>224</v>
      </c>
      <c r="D58" s="118">
        <v>100854</v>
      </c>
      <c r="E58" s="118">
        <v>99678</v>
      </c>
      <c r="F58" s="118">
        <v>99678</v>
      </c>
      <c r="G58" s="105">
        <f>G57</f>
        <v>104662.53</v>
      </c>
      <c r="I58" s="196"/>
      <c r="J58" s="197"/>
      <c r="K58" s="197"/>
      <c r="L58" s="198"/>
      <c r="M58" s="138"/>
      <c r="N58" s="196"/>
      <c r="O58" s="197"/>
      <c r="P58" s="197"/>
      <c r="Q58" s="198"/>
      <c r="R58" s="138"/>
      <c r="S58" s="196"/>
      <c r="T58" s="197"/>
      <c r="U58" s="197"/>
      <c r="V58" s="227"/>
      <c r="W58" s="234"/>
    </row>
    <row r="59" spans="2:23" ht="12.75" customHeight="1" x14ac:dyDescent="0.35">
      <c r="B59" s="3" t="s">
        <v>102</v>
      </c>
      <c r="C59" s="83"/>
      <c r="D59" s="103">
        <v>154690</v>
      </c>
      <c r="E59" s="103">
        <v>223723.99</v>
      </c>
      <c r="F59" s="103">
        <v>161081.476</v>
      </c>
      <c r="G59" s="103">
        <f>'BASE - Pre CV-19'!O145</f>
        <v>229500</v>
      </c>
      <c r="H59" t="s">
        <v>267</v>
      </c>
      <c r="I59" s="196">
        <f>D59</f>
        <v>154690</v>
      </c>
      <c r="J59" s="197">
        <f t="shared" ref="J59:L59" si="54">E59</f>
        <v>223723.99</v>
      </c>
      <c r="K59" s="197">
        <f t="shared" si="54"/>
        <v>161081.476</v>
      </c>
      <c r="L59" s="198">
        <f t="shared" si="54"/>
        <v>229500</v>
      </c>
      <c r="M59" s="138"/>
      <c r="N59" s="196">
        <f>D60</f>
        <v>97645</v>
      </c>
      <c r="O59" s="197">
        <f t="shared" ref="O59:Q59" si="55">E60</f>
        <v>120811.10699999999</v>
      </c>
      <c r="P59" s="197">
        <f t="shared" si="55"/>
        <v>167792.99249999999</v>
      </c>
      <c r="Q59" s="198">
        <f t="shared" si="55"/>
        <v>229500</v>
      </c>
      <c r="R59" s="138"/>
      <c r="S59" s="196">
        <f>N59-I59</f>
        <v>-57045</v>
      </c>
      <c r="T59" s="197">
        <f t="shared" ref="T59:V59" si="56">O59-J59</f>
        <v>-102912.883</v>
      </c>
      <c r="U59" s="197">
        <f t="shared" si="56"/>
        <v>6711.5164999999979</v>
      </c>
      <c r="V59" s="227">
        <f t="shared" si="56"/>
        <v>0</v>
      </c>
      <c r="W59" s="234" t="s">
        <v>321</v>
      </c>
    </row>
    <row r="60" spans="2:23" ht="12.75" customHeight="1" x14ac:dyDescent="0.35">
      <c r="B60" s="98"/>
      <c r="C60" s="100" t="s">
        <v>224</v>
      </c>
      <c r="D60" s="113">
        <v>97645</v>
      </c>
      <c r="E60" s="113">
        <f>F59*0.75</f>
        <v>120811.10699999999</v>
      </c>
      <c r="F60" s="113">
        <f>E59*0.75</f>
        <v>167792.99249999999</v>
      </c>
      <c r="G60" s="105">
        <f>G59</f>
        <v>229500</v>
      </c>
      <c r="I60" s="216"/>
      <c r="J60" s="217"/>
      <c r="K60" s="217"/>
      <c r="L60" s="218"/>
      <c r="M60" s="138"/>
      <c r="N60" s="216"/>
      <c r="O60" s="217"/>
      <c r="P60" s="217"/>
      <c r="Q60" s="218"/>
      <c r="R60" s="138"/>
      <c r="S60" s="216"/>
      <c r="T60" s="217"/>
      <c r="U60" s="217"/>
      <c r="V60" s="229"/>
      <c r="W60" s="234"/>
    </row>
    <row r="61" spans="2:23" ht="12.75" customHeight="1" x14ac:dyDescent="0.35">
      <c r="B61" s="3" t="s">
        <v>110</v>
      </c>
      <c r="C61" s="84"/>
      <c r="D61" s="106">
        <v>121500</v>
      </c>
      <c r="E61" s="107">
        <v>4500</v>
      </c>
      <c r="F61" s="108"/>
      <c r="I61" s="222"/>
      <c r="J61" s="223"/>
      <c r="K61" s="223"/>
      <c r="L61" s="224"/>
      <c r="M61" s="138"/>
      <c r="N61" s="222"/>
      <c r="O61" s="223"/>
      <c r="P61" s="223"/>
      <c r="Q61" s="224"/>
      <c r="R61" s="138"/>
      <c r="S61" s="222"/>
      <c r="T61" s="223"/>
      <c r="U61" s="223"/>
      <c r="V61" s="231"/>
      <c r="W61" s="234"/>
    </row>
    <row r="62" spans="2:23" ht="12.75" customHeight="1" x14ac:dyDescent="0.35">
      <c r="C62" s="84"/>
      <c r="D62" s="106"/>
      <c r="E62" s="107"/>
      <c r="F62" s="108"/>
      <c r="I62" s="222"/>
      <c r="J62" s="223"/>
      <c r="K62" s="223"/>
      <c r="L62" s="224"/>
      <c r="M62" s="138"/>
      <c r="N62" s="222"/>
      <c r="O62" s="223"/>
      <c r="P62" s="223"/>
      <c r="Q62" s="224"/>
      <c r="R62" s="138"/>
      <c r="S62" s="222"/>
      <c r="T62" s="223"/>
      <c r="U62" s="223"/>
      <c r="V62" s="231"/>
      <c r="W62" s="234"/>
    </row>
    <row r="63" spans="2:23" ht="12.75" customHeight="1" x14ac:dyDescent="0.35">
      <c r="B63" s="3" t="s">
        <v>113</v>
      </c>
      <c r="C63" s="83"/>
      <c r="D63" s="103">
        <v>83000</v>
      </c>
      <c r="E63" s="103">
        <v>0</v>
      </c>
      <c r="F63" s="103">
        <v>87150</v>
      </c>
      <c r="G63" s="103">
        <f>'BASE - Pre CV-19'!O155</f>
        <v>0</v>
      </c>
      <c r="I63" s="196">
        <f>D63</f>
        <v>83000</v>
      </c>
      <c r="J63" s="197">
        <f t="shared" ref="J63:L63" si="57">E63</f>
        <v>0</v>
      </c>
      <c r="K63" s="197">
        <f t="shared" si="57"/>
        <v>87150</v>
      </c>
      <c r="L63" s="198">
        <f t="shared" si="57"/>
        <v>0</v>
      </c>
      <c r="M63" s="138"/>
      <c r="N63" s="196">
        <f>D64</f>
        <v>80453</v>
      </c>
      <c r="O63" s="197">
        <f t="shared" ref="O63:Q63" si="58">E64</f>
        <v>0</v>
      </c>
      <c r="P63" s="197">
        <f t="shared" si="58"/>
        <v>0</v>
      </c>
      <c r="Q63" s="198">
        <f t="shared" si="58"/>
        <v>0</v>
      </c>
      <c r="R63" s="138"/>
      <c r="S63" s="196">
        <f>N63-I63</f>
        <v>-2547</v>
      </c>
      <c r="T63" s="197">
        <f t="shared" ref="T63:V63" si="59">O63-J63</f>
        <v>0</v>
      </c>
      <c r="U63" s="197">
        <f t="shared" si="59"/>
        <v>-87150</v>
      </c>
      <c r="V63" s="227">
        <f t="shared" si="59"/>
        <v>0</v>
      </c>
      <c r="W63" s="234"/>
    </row>
    <row r="64" spans="2:23" ht="12.75" customHeight="1" x14ac:dyDescent="0.35">
      <c r="C64" s="100" t="s">
        <v>224</v>
      </c>
      <c r="D64" s="105">
        <v>80453</v>
      </c>
      <c r="E64" s="105"/>
      <c r="F64" s="105">
        <v>0</v>
      </c>
      <c r="G64" s="105">
        <f>G63</f>
        <v>0</v>
      </c>
      <c r="I64" s="216"/>
      <c r="J64" s="217"/>
      <c r="K64" s="217"/>
      <c r="L64" s="218"/>
      <c r="M64" s="138"/>
      <c r="N64" s="216"/>
      <c r="O64" s="217"/>
      <c r="P64" s="217"/>
      <c r="Q64" s="218"/>
      <c r="R64" s="138"/>
      <c r="S64" s="216"/>
      <c r="T64" s="217"/>
      <c r="U64" s="217"/>
      <c r="V64" s="229"/>
      <c r="W64" s="234"/>
    </row>
    <row r="65" spans="2:23" ht="12.75" customHeight="1" x14ac:dyDescent="0.35">
      <c r="B65" s="3" t="s">
        <v>115</v>
      </c>
      <c r="C65" s="83"/>
      <c r="D65" s="103">
        <v>0</v>
      </c>
      <c r="E65" s="103">
        <v>86111.3</v>
      </c>
      <c r="F65" s="103">
        <v>0</v>
      </c>
      <c r="G65" s="103">
        <f>'BASE - Pre CV-19'!O161</f>
        <v>86442.010000000009</v>
      </c>
      <c r="I65" s="196">
        <f>D65</f>
        <v>0</v>
      </c>
      <c r="J65" s="197">
        <f t="shared" ref="J65:L65" si="60">E65</f>
        <v>86111.3</v>
      </c>
      <c r="K65" s="197">
        <f t="shared" si="60"/>
        <v>0</v>
      </c>
      <c r="L65" s="198">
        <f t="shared" si="60"/>
        <v>86442.010000000009</v>
      </c>
      <c r="M65" s="138"/>
      <c r="N65" s="196">
        <f>D66</f>
        <v>0</v>
      </c>
      <c r="O65" s="197">
        <f t="shared" ref="O65:Q65" si="61">E66</f>
        <v>0</v>
      </c>
      <c r="P65" s="197">
        <f t="shared" si="61"/>
        <v>86111</v>
      </c>
      <c r="Q65" s="198">
        <f t="shared" si="61"/>
        <v>86442.010000000009</v>
      </c>
      <c r="R65" s="138"/>
      <c r="S65" s="196">
        <f>N65-I65</f>
        <v>0</v>
      </c>
      <c r="T65" s="197">
        <f t="shared" ref="T65:V65" si="62">O65-J65</f>
        <v>-86111.3</v>
      </c>
      <c r="U65" s="197">
        <f t="shared" si="62"/>
        <v>86111</v>
      </c>
      <c r="V65" s="227">
        <f t="shared" si="62"/>
        <v>0</v>
      </c>
      <c r="W65" s="234"/>
    </row>
    <row r="66" spans="2:23" ht="12.75" customHeight="1" x14ac:dyDescent="0.35">
      <c r="C66" s="100" t="s">
        <v>224</v>
      </c>
      <c r="D66" s="105"/>
      <c r="E66" s="105">
        <v>0</v>
      </c>
      <c r="F66" s="105">
        <v>86111</v>
      </c>
      <c r="G66" s="105">
        <f>G65</f>
        <v>86442.010000000009</v>
      </c>
      <c r="I66" s="216"/>
      <c r="J66" s="217"/>
      <c r="K66" s="217"/>
      <c r="L66" s="218"/>
      <c r="M66" s="138"/>
      <c r="N66" s="216"/>
      <c r="O66" s="217"/>
      <c r="P66" s="217"/>
      <c r="Q66" s="218"/>
      <c r="R66" s="138"/>
      <c r="S66" s="216"/>
      <c r="T66" s="217"/>
      <c r="U66" s="217"/>
      <c r="V66" s="229"/>
      <c r="W66" s="234"/>
    </row>
    <row r="67" spans="2:23" ht="12.75" customHeight="1" x14ac:dyDescent="0.35">
      <c r="B67" s="3" t="s">
        <v>120</v>
      </c>
      <c r="C67" s="83"/>
      <c r="D67" s="103">
        <v>0</v>
      </c>
      <c r="E67" s="103">
        <v>140700</v>
      </c>
      <c r="F67" s="103">
        <v>0</v>
      </c>
      <c r="G67" s="103">
        <f>'BASE - Pre CV-19'!O165</f>
        <v>147735</v>
      </c>
      <c r="I67" s="196">
        <f>D67</f>
        <v>0</v>
      </c>
      <c r="J67" s="197">
        <f t="shared" ref="J67:L67" si="63">E67</f>
        <v>140700</v>
      </c>
      <c r="K67" s="197">
        <f t="shared" si="63"/>
        <v>0</v>
      </c>
      <c r="L67" s="198">
        <f t="shared" si="63"/>
        <v>147735</v>
      </c>
      <c r="M67" s="138"/>
      <c r="N67" s="196">
        <f>D68</f>
        <v>0</v>
      </c>
      <c r="O67" s="197">
        <f t="shared" ref="O67:Q67" si="64">E68</f>
        <v>0</v>
      </c>
      <c r="P67" s="197">
        <f t="shared" si="64"/>
        <v>0</v>
      </c>
      <c r="Q67" s="198">
        <f t="shared" si="64"/>
        <v>147735</v>
      </c>
      <c r="R67" s="138"/>
      <c r="S67" s="196">
        <f>N67-I67</f>
        <v>0</v>
      </c>
      <c r="T67" s="197">
        <f t="shared" ref="T67:V67" si="65">O67-J67</f>
        <v>-140700</v>
      </c>
      <c r="U67" s="197">
        <f t="shared" si="65"/>
        <v>0</v>
      </c>
      <c r="V67" s="227">
        <f t="shared" si="65"/>
        <v>0</v>
      </c>
      <c r="W67" s="234"/>
    </row>
    <row r="68" spans="2:23" ht="12.75" customHeight="1" x14ac:dyDescent="0.35">
      <c r="C68" s="100" t="s">
        <v>224</v>
      </c>
      <c r="D68" s="105"/>
      <c r="E68" s="105">
        <v>0</v>
      </c>
      <c r="F68" s="105"/>
      <c r="G68" s="105">
        <f>G67</f>
        <v>147735</v>
      </c>
      <c r="I68" s="216"/>
      <c r="J68" s="217"/>
      <c r="K68" s="217"/>
      <c r="L68" s="218"/>
      <c r="M68" s="138"/>
      <c r="N68" s="216"/>
      <c r="O68" s="217"/>
      <c r="P68" s="217"/>
      <c r="Q68" s="218"/>
      <c r="R68" s="138"/>
      <c r="S68" s="216"/>
      <c r="T68" s="217"/>
      <c r="U68" s="217"/>
      <c r="V68" s="229"/>
      <c r="W68" s="234"/>
    </row>
    <row r="69" spans="2:23" ht="12.75" customHeight="1" x14ac:dyDescent="0.35">
      <c r="B69" s="3" t="s">
        <v>122</v>
      </c>
      <c r="C69" s="83"/>
      <c r="D69" s="103">
        <v>10000</v>
      </c>
      <c r="E69" s="103">
        <v>10000</v>
      </c>
      <c r="F69" s="103">
        <v>10000</v>
      </c>
      <c r="G69" s="103">
        <f>'BASE - Pre CV-19'!O169</f>
        <v>16000</v>
      </c>
      <c r="I69" s="196">
        <f>D69</f>
        <v>10000</v>
      </c>
      <c r="J69" s="197">
        <f t="shared" ref="J69:L69" si="66">E69</f>
        <v>10000</v>
      </c>
      <c r="K69" s="197">
        <f t="shared" si="66"/>
        <v>10000</v>
      </c>
      <c r="L69" s="198">
        <f t="shared" si="66"/>
        <v>16000</v>
      </c>
      <c r="M69" s="138"/>
      <c r="N69" s="196">
        <f>D70</f>
        <v>769</v>
      </c>
      <c r="O69" s="197">
        <f t="shared" ref="O69:Q69" si="67">E70</f>
        <v>10000</v>
      </c>
      <c r="P69" s="197">
        <f t="shared" si="67"/>
        <v>10000</v>
      </c>
      <c r="Q69" s="198">
        <f t="shared" si="67"/>
        <v>16000</v>
      </c>
      <c r="R69" s="138"/>
      <c r="S69" s="196">
        <f>N69-I69</f>
        <v>-9231</v>
      </c>
      <c r="T69" s="197">
        <f t="shared" ref="T69:V69" si="68">O69-J69</f>
        <v>0</v>
      </c>
      <c r="U69" s="197">
        <f t="shared" si="68"/>
        <v>0</v>
      </c>
      <c r="V69" s="227">
        <f t="shared" si="68"/>
        <v>0</v>
      </c>
      <c r="W69" s="234"/>
    </row>
    <row r="70" spans="2:23" ht="12.75" customHeight="1" x14ac:dyDescent="0.35">
      <c r="B70" s="98"/>
      <c r="C70" s="100" t="s">
        <v>224</v>
      </c>
      <c r="D70" s="113">
        <v>769</v>
      </c>
      <c r="E70" s="113">
        <v>10000</v>
      </c>
      <c r="F70" s="113">
        <v>10000</v>
      </c>
      <c r="G70" s="105">
        <f>G69</f>
        <v>16000</v>
      </c>
      <c r="I70" s="216"/>
      <c r="J70" s="217"/>
      <c r="K70" s="217"/>
      <c r="L70" s="218"/>
      <c r="M70" s="138"/>
      <c r="N70" s="216"/>
      <c r="O70" s="217"/>
      <c r="P70" s="217"/>
      <c r="Q70" s="218"/>
      <c r="R70" s="138"/>
      <c r="S70" s="216"/>
      <c r="T70" s="217"/>
      <c r="U70" s="217"/>
      <c r="V70" s="229"/>
      <c r="W70" s="234"/>
    </row>
    <row r="71" spans="2:23" ht="12.75" customHeight="1" thickBot="1" x14ac:dyDescent="0.4">
      <c r="B71" s="6" t="s">
        <v>125</v>
      </c>
      <c r="C71" s="85"/>
      <c r="D71" s="103">
        <f>D69+D67+D65+D63+D61</f>
        <v>214500</v>
      </c>
      <c r="E71" s="103">
        <f>E69+E67+E65+E63+E61</f>
        <v>241311.3</v>
      </c>
      <c r="F71" s="103">
        <f>F69+F67+F65+F63+F61</f>
        <v>97150</v>
      </c>
      <c r="G71" s="103">
        <f>'BASE - Pre CV-19'!O171</f>
        <v>253677.01</v>
      </c>
      <c r="I71" s="196">
        <f>D71</f>
        <v>214500</v>
      </c>
      <c r="J71" s="197">
        <f t="shared" ref="J71:L71" si="69">E71</f>
        <v>241311.3</v>
      </c>
      <c r="K71" s="197">
        <f t="shared" si="69"/>
        <v>97150</v>
      </c>
      <c r="L71" s="198">
        <f t="shared" si="69"/>
        <v>253677.01</v>
      </c>
      <c r="M71" s="138"/>
      <c r="N71" s="196">
        <f>D72</f>
        <v>81278.22</v>
      </c>
      <c r="O71" s="197">
        <f t="shared" ref="O71:Q71" si="70">E72</f>
        <v>14500</v>
      </c>
      <c r="P71" s="197">
        <f t="shared" si="70"/>
        <v>96111</v>
      </c>
      <c r="Q71" s="198">
        <f t="shared" si="70"/>
        <v>253677.01</v>
      </c>
      <c r="R71" s="138"/>
      <c r="S71" s="196">
        <f>N71-I71</f>
        <v>-133221.78</v>
      </c>
      <c r="T71" s="197">
        <f t="shared" ref="T71:V71" si="71">O71-J71</f>
        <v>-226811.3</v>
      </c>
      <c r="U71" s="197">
        <f t="shared" si="71"/>
        <v>-1039</v>
      </c>
      <c r="V71" s="227">
        <f t="shared" si="71"/>
        <v>0</v>
      </c>
      <c r="W71" s="234" t="s">
        <v>302</v>
      </c>
    </row>
    <row r="72" spans="2:23" ht="12.75" customHeight="1" thickTop="1" x14ac:dyDescent="0.35">
      <c r="B72" s="98"/>
      <c r="C72" s="100" t="s">
        <v>224</v>
      </c>
      <c r="D72" s="105">
        <f>D70+D68+D66+D64+56.22</f>
        <v>81278.22</v>
      </c>
      <c r="E72" s="105">
        <f>E70+E68+E66+E64+4500</f>
        <v>14500</v>
      </c>
      <c r="F72" s="105">
        <f>F70+F68+F66+F64+F62</f>
        <v>96111</v>
      </c>
      <c r="G72" s="105">
        <f>G71</f>
        <v>253677.01</v>
      </c>
      <c r="I72" s="216"/>
      <c r="J72" s="217"/>
      <c r="K72" s="217"/>
      <c r="L72" s="218"/>
      <c r="M72" s="138"/>
      <c r="N72" s="216"/>
      <c r="O72" s="217"/>
      <c r="P72" s="217"/>
      <c r="Q72" s="218"/>
      <c r="R72" s="138"/>
      <c r="S72" s="216"/>
      <c r="T72" s="217"/>
      <c r="U72" s="217"/>
      <c r="V72" s="229"/>
      <c r="W72" s="234"/>
    </row>
    <row r="73" spans="2:23" ht="12.75" customHeight="1" thickBot="1" x14ac:dyDescent="0.4">
      <c r="B73" s="6" t="s">
        <v>126</v>
      </c>
      <c r="C73" s="85"/>
      <c r="D73" s="103">
        <f>D71+D59+D57+D55+D53+D51</f>
        <v>859765.56579999998</v>
      </c>
      <c r="E73" s="103">
        <f>E71+E59+E57+E55+E53+E51</f>
        <v>970039.16448400007</v>
      </c>
      <c r="F73" s="103">
        <f>F71+F59+F57+F55+F53+F51</f>
        <v>777015.14159432007</v>
      </c>
      <c r="G73" s="103">
        <f>'BASE - Pre CV-19'!O173</f>
        <v>1016616.2959244336</v>
      </c>
      <c r="H73">
        <f>G71+G59+G57+G55+G53+G51</f>
        <v>1016616.2959244336</v>
      </c>
      <c r="I73" s="196">
        <f>D73</f>
        <v>859765.56579999998</v>
      </c>
      <c r="J73" s="197">
        <f t="shared" ref="J73:L73" si="72">E73</f>
        <v>970039.16448400007</v>
      </c>
      <c r="K73" s="197">
        <f t="shared" si="72"/>
        <v>777015.14159432007</v>
      </c>
      <c r="L73" s="198">
        <f t="shared" si="72"/>
        <v>1016616.2959244336</v>
      </c>
      <c r="M73" s="138"/>
      <c r="N73" s="196">
        <f>D74</f>
        <v>723843.22</v>
      </c>
      <c r="O73" s="197">
        <f t="shared" ref="O73:Q73" si="73">E74</f>
        <v>644290.10699999996</v>
      </c>
      <c r="P73" s="197">
        <f t="shared" si="73"/>
        <v>782687.99249999993</v>
      </c>
      <c r="Q73" s="198">
        <f t="shared" si="73"/>
        <v>1016616.2959244336</v>
      </c>
      <c r="R73" s="138"/>
      <c r="S73" s="196">
        <f>N73-I73</f>
        <v>-135922.34580000001</v>
      </c>
      <c r="T73" s="197">
        <f t="shared" ref="T73:V73" si="74">O73-J73</f>
        <v>-325749.05748400011</v>
      </c>
      <c r="U73" s="197">
        <f t="shared" si="74"/>
        <v>5672.8509056798648</v>
      </c>
      <c r="V73" s="227">
        <f t="shared" si="74"/>
        <v>0</v>
      </c>
      <c r="W73" s="234"/>
    </row>
    <row r="74" spans="2:23" ht="12.75" customHeight="1" thickTop="1" x14ac:dyDescent="0.35">
      <c r="B74" s="98"/>
      <c r="C74" s="100" t="s">
        <v>224</v>
      </c>
      <c r="D74" s="113">
        <f>D72+D60+D56+D54+D52+D50+D58</f>
        <v>723843.22</v>
      </c>
      <c r="E74" s="113">
        <f>E72+E60+E56+E54+E52+E50+E58</f>
        <v>644290.10699999996</v>
      </c>
      <c r="F74" s="113">
        <f>F72+F60+F56+F54+F52+F50+F58</f>
        <v>782687.99249999993</v>
      </c>
      <c r="G74" s="105">
        <f>G73</f>
        <v>1016616.2959244336</v>
      </c>
      <c r="I74" s="216"/>
      <c r="J74" s="217"/>
      <c r="K74" s="217"/>
      <c r="L74" s="218"/>
      <c r="M74" s="138"/>
      <c r="N74" s="216"/>
      <c r="O74" s="217"/>
      <c r="P74" s="217"/>
      <c r="Q74" s="218"/>
      <c r="R74" s="138"/>
      <c r="S74" s="216"/>
      <c r="T74" s="217"/>
      <c r="U74" s="217"/>
      <c r="V74" s="229"/>
      <c r="W74" s="234"/>
    </row>
    <row r="75" spans="2:23" ht="12.75" customHeight="1" thickBot="1" x14ac:dyDescent="0.4">
      <c r="B75" s="6" t="s">
        <v>168</v>
      </c>
      <c r="C75" s="85" t="s">
        <v>227</v>
      </c>
      <c r="D75" s="103">
        <f>D45-D73</f>
        <v>20146.91165454546</v>
      </c>
      <c r="E75" s="103">
        <f>E45-E73</f>
        <v>28002.241343272734</v>
      </c>
      <c r="F75" s="103">
        <f>F45-F73</f>
        <v>24696.242024316452</v>
      </c>
      <c r="G75" s="103">
        <f>G45-G73</f>
        <v>17632.107268206193</v>
      </c>
      <c r="I75" s="199">
        <f>D75</f>
        <v>20146.91165454546</v>
      </c>
      <c r="J75" s="200">
        <f t="shared" ref="J75:L75" si="75">E75</f>
        <v>28002.241343272734</v>
      </c>
      <c r="K75" s="200">
        <f t="shared" si="75"/>
        <v>24696.242024316452</v>
      </c>
      <c r="L75" s="201">
        <f t="shared" si="75"/>
        <v>17632.107268206193</v>
      </c>
      <c r="M75" s="138"/>
      <c r="N75" s="199">
        <f>D76</f>
        <v>68454.780000000028</v>
      </c>
      <c r="O75" s="200">
        <f t="shared" ref="O75:Q75" si="76">E76</f>
        <v>16056.89300000004</v>
      </c>
      <c r="P75" s="200">
        <f t="shared" si="76"/>
        <v>36046.607500000158</v>
      </c>
      <c r="Q75" s="201">
        <f t="shared" si="76"/>
        <v>17632.107268206193</v>
      </c>
      <c r="R75" s="138"/>
      <c r="S75" s="199">
        <f>N75-I75</f>
        <v>48307.868345454568</v>
      </c>
      <c r="T75" s="200">
        <f t="shared" ref="T75:V75" si="77">O75-J75</f>
        <v>-11945.348343272693</v>
      </c>
      <c r="U75" s="200">
        <f t="shared" si="77"/>
        <v>11350.365475683706</v>
      </c>
      <c r="V75" s="232">
        <f t="shared" si="77"/>
        <v>0</v>
      </c>
      <c r="W75" s="235"/>
    </row>
    <row r="76" spans="2:23" ht="12.75" customHeight="1" thickTop="1" x14ac:dyDescent="0.35">
      <c r="B76" s="98"/>
      <c r="C76" s="100" t="s">
        <v>224</v>
      </c>
      <c r="D76" s="113">
        <f>D46-D74</f>
        <v>68454.780000000028</v>
      </c>
      <c r="E76" s="113">
        <f>E46-E74</f>
        <v>16056.89300000004</v>
      </c>
      <c r="F76" s="113">
        <f>F46-F74</f>
        <v>36046.607500000158</v>
      </c>
      <c r="G76" s="113">
        <f>G46-G74</f>
        <v>17632.107268206193</v>
      </c>
      <c r="I76" s="138"/>
      <c r="J76" s="138"/>
      <c r="K76" s="138"/>
      <c r="L76" s="138"/>
      <c r="M76" s="138"/>
      <c r="N76" s="138"/>
      <c r="O76" s="138"/>
      <c r="P76" s="138"/>
      <c r="Q76" s="138"/>
      <c r="R76" s="138"/>
      <c r="S76" s="138"/>
      <c r="T76" s="138"/>
      <c r="U76" s="138"/>
      <c r="V76" s="138"/>
    </row>
    <row r="77" spans="2:23" ht="12.75" customHeight="1" x14ac:dyDescent="0.35">
      <c r="I77" s="138"/>
      <c r="J77" s="138"/>
      <c r="K77" s="138"/>
      <c r="L77" s="138"/>
      <c r="M77" s="138"/>
      <c r="N77" s="138"/>
      <c r="O77" s="138"/>
      <c r="P77" s="138"/>
      <c r="Q77" s="138"/>
      <c r="R77" s="138"/>
      <c r="S77" s="138"/>
      <c r="T77" s="138"/>
      <c r="U77" s="138"/>
      <c r="V77" s="138"/>
    </row>
    <row r="78" spans="2:23" ht="16.5" customHeight="1" x14ac:dyDescent="0.35"/>
    <row r="79" spans="2:23" ht="12.75" customHeight="1" x14ac:dyDescent="0.35">
      <c r="C79" s="78"/>
      <c r="D79" s="47">
        <v>43983</v>
      </c>
      <c r="E79" s="46">
        <v>44348</v>
      </c>
      <c r="F79" s="46">
        <v>44713</v>
      </c>
      <c r="G79" s="46">
        <v>45078</v>
      </c>
    </row>
    <row r="80" spans="2:23" ht="12.75" customHeight="1" x14ac:dyDescent="0.35">
      <c r="B80" s="31"/>
      <c r="C80" s="79"/>
      <c r="D80" s="9" t="s">
        <v>132</v>
      </c>
      <c r="E80" s="44" t="s">
        <v>132</v>
      </c>
      <c r="F80" s="9" t="s">
        <v>132</v>
      </c>
      <c r="G80" s="9" t="s">
        <v>132</v>
      </c>
    </row>
    <row r="81" spans="2:5" ht="12.75" customHeight="1" x14ac:dyDescent="0.35">
      <c r="B81" s="54"/>
      <c r="D81" s="31"/>
      <c r="E81" s="31"/>
    </row>
    <row r="82" spans="2:5" ht="12.75" customHeight="1" x14ac:dyDescent="0.35">
      <c r="B82" s="54"/>
      <c r="D82" s="31"/>
      <c r="E82" s="31"/>
    </row>
    <row r="83" spans="2:5" ht="12.75" customHeight="1" x14ac:dyDescent="0.35">
      <c r="B83" s="55"/>
      <c r="D83" s="31"/>
      <c r="E83" s="31"/>
    </row>
    <row r="84" spans="2:5" ht="12.75" customHeight="1" x14ac:dyDescent="0.35">
      <c r="B84" s="54"/>
      <c r="D84" s="31"/>
      <c r="E84" s="31"/>
    </row>
    <row r="85" spans="2:5" ht="12.75" customHeight="1" x14ac:dyDescent="0.35">
      <c r="B85" s="54"/>
      <c r="D85" s="31"/>
      <c r="E85" s="31"/>
    </row>
    <row r="86" spans="2:5" ht="12.75" customHeight="1" x14ac:dyDescent="0.35">
      <c r="B86" s="55"/>
      <c r="D86" s="31"/>
      <c r="E86" s="31"/>
    </row>
    <row r="87" spans="2:5" ht="12.75" customHeight="1" x14ac:dyDescent="0.35">
      <c r="B87" s="55"/>
      <c r="D87" s="31"/>
      <c r="E87" s="31"/>
    </row>
    <row r="88" spans="2:5" ht="12.75" customHeight="1" x14ac:dyDescent="0.35">
      <c r="B88" s="54"/>
      <c r="D88" s="31"/>
      <c r="E88" s="31"/>
    </row>
    <row r="89" spans="2:5" ht="12.75" customHeight="1" x14ac:dyDescent="0.35">
      <c r="B89" s="54"/>
      <c r="D89" s="31"/>
      <c r="E89" s="31"/>
    </row>
    <row r="90" spans="2:5" ht="12.75" customHeight="1" x14ac:dyDescent="0.35">
      <c r="B90" s="54"/>
      <c r="D90" s="31"/>
      <c r="E90" s="31"/>
    </row>
    <row r="91" spans="2:5" ht="12.75" customHeight="1" x14ac:dyDescent="0.35">
      <c r="B91" s="54"/>
      <c r="D91" s="31"/>
      <c r="E91" s="31"/>
    </row>
    <row r="92" spans="2:5" ht="12.75" customHeight="1" x14ac:dyDescent="0.35">
      <c r="B92" s="54"/>
      <c r="D92" s="31"/>
      <c r="E92" s="31"/>
    </row>
    <row r="93" spans="2:5" ht="12.75" customHeight="1" x14ac:dyDescent="0.35">
      <c r="B93" s="54"/>
      <c r="D93" s="31"/>
      <c r="E93" s="31"/>
    </row>
    <row r="94" spans="2:5" ht="12.75" customHeight="1" x14ac:dyDescent="0.35">
      <c r="B94" s="55"/>
      <c r="D94" s="31"/>
      <c r="E94" s="31"/>
    </row>
    <row r="95" spans="2:5" ht="12.75" customHeight="1" x14ac:dyDescent="0.35">
      <c r="B95" s="54"/>
      <c r="D95" s="31"/>
      <c r="E95" s="31"/>
    </row>
    <row r="96" spans="2:5" ht="12.75" customHeight="1" x14ac:dyDescent="0.35">
      <c r="B96" s="55"/>
      <c r="D96" s="31"/>
      <c r="E96" s="31"/>
    </row>
    <row r="97" spans="2:5" ht="12.75" customHeight="1" x14ac:dyDescent="0.35">
      <c r="B97" s="55"/>
      <c r="D97" s="31"/>
      <c r="E97" s="31"/>
    </row>
    <row r="98" spans="2:5" ht="12.75" customHeight="1" x14ac:dyDescent="0.35">
      <c r="B98" s="54"/>
      <c r="D98" s="31"/>
      <c r="E98" s="31"/>
    </row>
    <row r="99" spans="2:5" ht="12.75" customHeight="1" x14ac:dyDescent="0.35">
      <c r="B99" s="55"/>
      <c r="D99" s="31"/>
      <c r="E99" s="31"/>
    </row>
    <row r="100" spans="2:5" ht="12.75" customHeight="1" x14ac:dyDescent="0.35">
      <c r="B100" s="54"/>
      <c r="D100" s="31"/>
      <c r="E100" s="31"/>
    </row>
    <row r="101" spans="2:5" ht="12.75" customHeight="1" x14ac:dyDescent="0.35">
      <c r="B101" s="54"/>
      <c r="D101" s="31"/>
      <c r="E101" s="31"/>
    </row>
    <row r="102" spans="2:5" ht="12.75" customHeight="1" x14ac:dyDescent="0.35">
      <c r="B102" s="54"/>
      <c r="D102" s="31"/>
      <c r="E102" s="31"/>
    </row>
    <row r="103" spans="2:5" ht="12.75" customHeight="1" x14ac:dyDescent="0.35">
      <c r="B103" s="54"/>
      <c r="D103" s="31"/>
      <c r="E103" s="31"/>
    </row>
    <row r="104" spans="2:5" ht="12.75" customHeight="1" x14ac:dyDescent="0.35">
      <c r="B104" s="54"/>
      <c r="D104" s="31"/>
      <c r="E104" s="31"/>
    </row>
    <row r="105" spans="2:5" ht="12.75" customHeight="1" x14ac:dyDescent="0.35">
      <c r="B105" s="54"/>
      <c r="D105" s="31"/>
      <c r="E105" s="31"/>
    </row>
    <row r="106" spans="2:5" ht="12.75" customHeight="1" x14ac:dyDescent="0.35">
      <c r="B106" s="54"/>
      <c r="D106" s="31"/>
      <c r="E106" s="31"/>
    </row>
    <row r="107" spans="2:5" ht="12.75" customHeight="1" x14ac:dyDescent="0.35">
      <c r="B107" s="54"/>
      <c r="D107" s="31"/>
      <c r="E107" s="31"/>
    </row>
    <row r="108" spans="2:5" ht="12.75" customHeight="1" x14ac:dyDescent="0.35">
      <c r="B108" s="54"/>
      <c r="D108" s="31"/>
      <c r="E108" s="31"/>
    </row>
    <row r="109" spans="2:5" ht="12.75" customHeight="1" x14ac:dyDescent="0.35">
      <c r="B109" s="54"/>
      <c r="D109" s="31"/>
      <c r="E109" s="31"/>
    </row>
    <row r="110" spans="2:5" ht="12.75" customHeight="1" x14ac:dyDescent="0.35">
      <c r="B110" s="54"/>
      <c r="D110" s="31"/>
      <c r="E110" s="31"/>
    </row>
    <row r="111" spans="2:5" ht="12.75" customHeight="1" x14ac:dyDescent="0.35">
      <c r="B111" s="54"/>
      <c r="D111" s="31"/>
      <c r="E111" s="31"/>
    </row>
    <row r="112" spans="2:5" ht="12.75" customHeight="1" x14ac:dyDescent="0.35">
      <c r="B112" s="54"/>
      <c r="D112" s="31"/>
      <c r="E112" s="31"/>
    </row>
    <row r="113" spans="2:5" ht="12.75" customHeight="1" x14ac:dyDescent="0.35">
      <c r="B113" s="31"/>
      <c r="D113" s="31"/>
      <c r="E113" s="31"/>
    </row>
    <row r="114" spans="2:5" ht="12.75" customHeight="1" x14ac:dyDescent="0.35">
      <c r="B114" s="31"/>
      <c r="D114" s="31"/>
      <c r="E114" s="31"/>
    </row>
    <row r="115" spans="2:5" ht="12.75" customHeight="1" x14ac:dyDescent="0.35">
      <c r="B115" s="31"/>
      <c r="D115" s="31"/>
      <c r="E115" s="31"/>
    </row>
    <row r="116" spans="2:5" ht="12.75" customHeight="1" x14ac:dyDescent="0.35">
      <c r="B116" s="31"/>
      <c r="D116" s="31"/>
      <c r="E116" s="31"/>
    </row>
    <row r="117" spans="2:5" ht="12.75" customHeight="1" x14ac:dyDescent="0.35">
      <c r="B117" s="31"/>
      <c r="D117" s="31"/>
      <c r="E117" s="31"/>
    </row>
    <row r="118" spans="2:5" ht="12.75" customHeight="1" x14ac:dyDescent="0.35">
      <c r="B118" s="31"/>
      <c r="D118" s="31"/>
      <c r="E118" s="31"/>
    </row>
    <row r="119" spans="2:5" ht="12.75" customHeight="1" x14ac:dyDescent="0.35">
      <c r="B119" s="31"/>
      <c r="D119" s="31"/>
      <c r="E119" s="31"/>
    </row>
    <row r="120" spans="2:5" ht="12.75" customHeight="1" x14ac:dyDescent="0.35">
      <c r="B120" s="31"/>
      <c r="D120" s="31"/>
      <c r="E120" s="31"/>
    </row>
    <row r="121" spans="2:5" ht="12.75" customHeight="1" x14ac:dyDescent="0.35">
      <c r="B121" s="31"/>
      <c r="D121" s="31"/>
      <c r="E121" s="31"/>
    </row>
    <row r="122" spans="2:5" ht="12.75" customHeight="1" x14ac:dyDescent="0.35">
      <c r="B122" s="31"/>
      <c r="D122" s="31"/>
      <c r="E122" s="31"/>
    </row>
    <row r="123" spans="2:5" ht="12.75" customHeight="1" x14ac:dyDescent="0.35">
      <c r="B123" s="31"/>
      <c r="D123" s="31"/>
      <c r="E123" s="31"/>
    </row>
    <row r="124" spans="2:5" ht="12.75" customHeight="1" x14ac:dyDescent="0.35">
      <c r="B124" s="31"/>
      <c r="D124" s="31"/>
      <c r="E124" s="31"/>
    </row>
    <row r="125" spans="2:5" ht="12.75" customHeight="1" x14ac:dyDescent="0.35">
      <c r="B125" s="31"/>
      <c r="D125" s="31"/>
      <c r="E125" s="31"/>
    </row>
    <row r="126" spans="2:5" ht="12.75" customHeight="1" x14ac:dyDescent="0.35">
      <c r="B126" s="31"/>
      <c r="D126" s="31"/>
      <c r="E126" s="31"/>
    </row>
    <row r="127" spans="2:5" ht="12.75" customHeight="1" x14ac:dyDescent="0.35">
      <c r="B127" s="31"/>
      <c r="D127" s="31"/>
      <c r="E127" s="31"/>
    </row>
    <row r="128" spans="2:5" ht="12.75" customHeight="1" x14ac:dyDescent="0.35">
      <c r="B128" s="31"/>
      <c r="D128" s="31"/>
      <c r="E128" s="31"/>
    </row>
    <row r="129" spans="2:5" ht="12.75" customHeight="1" x14ac:dyDescent="0.35">
      <c r="B129" s="31"/>
      <c r="D129" s="31"/>
      <c r="E129" s="31"/>
    </row>
    <row r="130" spans="2:5" ht="12.75" customHeight="1" x14ac:dyDescent="0.35">
      <c r="B130" s="31"/>
      <c r="D130" s="31"/>
      <c r="E130" s="31"/>
    </row>
    <row r="131" spans="2:5" ht="12.75" customHeight="1" x14ac:dyDescent="0.35">
      <c r="B131" s="31"/>
      <c r="D131" s="31"/>
      <c r="E131" s="31"/>
    </row>
    <row r="132" spans="2:5" ht="12.75" customHeight="1" x14ac:dyDescent="0.35">
      <c r="B132" s="31"/>
      <c r="D132" s="31"/>
      <c r="E132" s="31"/>
    </row>
    <row r="133" spans="2:5" ht="12.75" customHeight="1" x14ac:dyDescent="0.35">
      <c r="B133" s="31"/>
      <c r="D133" s="31"/>
      <c r="E133" s="31"/>
    </row>
    <row r="134" spans="2:5" ht="12.75" customHeight="1" x14ac:dyDescent="0.35">
      <c r="B134" s="31"/>
      <c r="D134" s="31"/>
      <c r="E134" s="31"/>
    </row>
    <row r="135" spans="2:5" ht="12.75" customHeight="1" x14ac:dyDescent="0.35">
      <c r="B135" s="31"/>
      <c r="D135" s="31"/>
      <c r="E135" s="31"/>
    </row>
    <row r="136" spans="2:5" ht="12.75" customHeight="1" x14ac:dyDescent="0.35">
      <c r="B136" s="31"/>
      <c r="D136" s="31"/>
      <c r="E136" s="31"/>
    </row>
    <row r="137" spans="2:5" ht="12.75" customHeight="1" x14ac:dyDescent="0.35">
      <c r="B137" s="31"/>
      <c r="D137" s="31"/>
      <c r="E137" s="31"/>
    </row>
    <row r="138" spans="2:5" ht="12.75" customHeight="1" x14ac:dyDescent="0.35">
      <c r="B138" s="31"/>
      <c r="D138" s="31"/>
      <c r="E138" s="31"/>
    </row>
    <row r="139" spans="2:5" ht="12.75" customHeight="1" x14ac:dyDescent="0.35">
      <c r="B139" s="31"/>
      <c r="D139" s="31"/>
      <c r="E139" s="31"/>
    </row>
    <row r="140" spans="2:5" ht="12.75" customHeight="1" x14ac:dyDescent="0.35">
      <c r="B140" s="31"/>
      <c r="D140" s="31"/>
      <c r="E140" s="31"/>
    </row>
    <row r="141" spans="2:5" ht="12.75" customHeight="1" x14ac:dyDescent="0.35">
      <c r="B141" s="31"/>
      <c r="D141" s="31"/>
      <c r="E141" s="31"/>
    </row>
    <row r="142" spans="2:5" ht="12.75" customHeight="1" x14ac:dyDescent="0.35">
      <c r="B142" s="31"/>
      <c r="D142" s="31"/>
      <c r="E142" s="31"/>
    </row>
    <row r="143" spans="2:5" ht="12.75" customHeight="1" x14ac:dyDescent="0.35">
      <c r="B143" s="31"/>
      <c r="D143" s="31"/>
      <c r="E143" s="31"/>
    </row>
    <row r="144" spans="2:5" ht="12.75" customHeight="1" x14ac:dyDescent="0.35">
      <c r="B144" s="31"/>
      <c r="D144" s="31"/>
      <c r="E144" s="31"/>
    </row>
    <row r="145" spans="2:5" ht="12.75" customHeight="1" x14ac:dyDescent="0.35">
      <c r="B145" s="31"/>
      <c r="D145" s="31"/>
      <c r="E145" s="31"/>
    </row>
    <row r="146" spans="2:5" ht="12.75" customHeight="1" x14ac:dyDescent="0.35">
      <c r="B146" s="31"/>
      <c r="D146" s="31"/>
      <c r="E146" s="31"/>
    </row>
    <row r="147" spans="2:5" ht="12.75" customHeight="1" x14ac:dyDescent="0.35">
      <c r="B147" s="31"/>
      <c r="D147" s="31"/>
      <c r="E147" s="31"/>
    </row>
    <row r="148" spans="2:5" ht="12.75" customHeight="1" x14ac:dyDescent="0.35">
      <c r="B148" s="31"/>
      <c r="D148" s="31"/>
      <c r="E148" s="31"/>
    </row>
    <row r="149" spans="2:5" ht="12.75" customHeight="1" x14ac:dyDescent="0.35">
      <c r="B149" s="31"/>
      <c r="D149" s="31"/>
      <c r="E149" s="31"/>
    </row>
    <row r="150" spans="2:5" ht="12.75" customHeight="1" x14ac:dyDescent="0.35">
      <c r="B150" s="31"/>
      <c r="D150" s="31"/>
      <c r="E150" s="31"/>
    </row>
    <row r="151" spans="2:5" ht="12.75" customHeight="1" x14ac:dyDescent="0.35">
      <c r="B151" s="31"/>
      <c r="D151" s="31"/>
      <c r="E151" s="31"/>
    </row>
    <row r="152" spans="2:5" ht="12.75" customHeight="1" x14ac:dyDescent="0.35">
      <c r="B152" s="31"/>
      <c r="D152" s="31"/>
      <c r="E152" s="31"/>
    </row>
    <row r="153" spans="2:5" ht="12.75" customHeight="1" x14ac:dyDescent="0.35">
      <c r="B153" s="31"/>
      <c r="D153" s="31"/>
      <c r="E153" s="31"/>
    </row>
    <row r="154" spans="2:5" ht="12.75" customHeight="1" x14ac:dyDescent="0.35">
      <c r="B154" s="31"/>
      <c r="D154" s="31"/>
      <c r="E154" s="31"/>
    </row>
    <row r="155" spans="2:5" ht="12.75" customHeight="1" x14ac:dyDescent="0.35">
      <c r="B155" s="31"/>
      <c r="D155" s="31"/>
      <c r="E155" s="31"/>
    </row>
    <row r="156" spans="2:5" ht="12.75" customHeight="1" x14ac:dyDescent="0.35">
      <c r="B156" s="31"/>
      <c r="D156" s="31"/>
      <c r="E156" s="31"/>
    </row>
    <row r="157" spans="2:5" ht="12.75" customHeight="1" x14ac:dyDescent="0.35">
      <c r="B157" s="31"/>
      <c r="D157" s="31"/>
      <c r="E157" s="31"/>
    </row>
    <row r="158" spans="2:5" ht="12.75" customHeight="1" x14ac:dyDescent="0.35">
      <c r="B158" s="31"/>
      <c r="D158" s="31"/>
      <c r="E158" s="31"/>
    </row>
    <row r="159" spans="2:5" ht="12.75" customHeight="1" x14ac:dyDescent="0.35">
      <c r="B159" s="31"/>
      <c r="D159" s="31"/>
      <c r="E159" s="31"/>
    </row>
    <row r="160" spans="2:5" ht="12.75" customHeight="1" x14ac:dyDescent="0.35">
      <c r="B160" s="31"/>
      <c r="D160" s="31"/>
      <c r="E160" s="31"/>
    </row>
    <row r="161" spans="2:5" ht="12.75" customHeight="1" x14ac:dyDescent="0.35">
      <c r="B161" s="31"/>
      <c r="D161" s="31"/>
      <c r="E161" s="31"/>
    </row>
    <row r="162" spans="2:5" ht="12.75" customHeight="1" x14ac:dyDescent="0.35">
      <c r="B162" s="31"/>
      <c r="D162" s="31"/>
      <c r="E162" s="31"/>
    </row>
    <row r="163" spans="2:5" ht="12.75" customHeight="1" x14ac:dyDescent="0.35">
      <c r="B163" s="31"/>
      <c r="D163" s="31"/>
      <c r="E163" s="31"/>
    </row>
    <row r="164" spans="2:5" ht="12.75" customHeight="1" x14ac:dyDescent="0.35">
      <c r="B164" s="31"/>
      <c r="D164" s="31"/>
      <c r="E164" s="31"/>
    </row>
    <row r="165" spans="2:5" ht="12.75" customHeight="1" x14ac:dyDescent="0.35">
      <c r="B165" s="31"/>
      <c r="D165" s="31"/>
      <c r="E165" s="31"/>
    </row>
    <row r="166" spans="2:5" ht="12.75" customHeight="1" x14ac:dyDescent="0.35">
      <c r="B166" s="31"/>
      <c r="D166" s="31"/>
      <c r="E166" s="31"/>
    </row>
    <row r="167" spans="2:5" ht="12.75" customHeight="1" x14ac:dyDescent="0.35">
      <c r="B167" s="31"/>
      <c r="D167" s="31"/>
      <c r="E167" s="31"/>
    </row>
    <row r="168" spans="2:5" ht="12.75" customHeight="1" x14ac:dyDescent="0.35">
      <c r="B168" s="31"/>
      <c r="D168" s="31"/>
      <c r="E168" s="31"/>
    </row>
    <row r="169" spans="2:5" ht="12.75" customHeight="1" x14ac:dyDescent="0.35">
      <c r="B169" s="31"/>
      <c r="D169" s="31"/>
      <c r="E169" s="31"/>
    </row>
    <row r="170" spans="2:5" ht="12.75" customHeight="1" x14ac:dyDescent="0.35">
      <c r="B170" s="31"/>
      <c r="D170" s="31"/>
      <c r="E170" s="31"/>
    </row>
    <row r="171" spans="2:5" ht="12.75" customHeight="1" x14ac:dyDescent="0.35">
      <c r="B171" s="31"/>
      <c r="D171" s="31"/>
      <c r="E171" s="31"/>
    </row>
    <row r="172" spans="2:5" ht="12.75" customHeight="1" x14ac:dyDescent="0.35">
      <c r="B172" s="31"/>
      <c r="D172" s="31"/>
      <c r="E172" s="31"/>
    </row>
    <row r="173" spans="2:5" ht="12.75" customHeight="1" x14ac:dyDescent="0.35">
      <c r="B173" s="31"/>
      <c r="D173" s="31"/>
      <c r="E173" s="31"/>
    </row>
    <row r="174" spans="2:5" ht="12.75" customHeight="1" x14ac:dyDescent="0.35">
      <c r="B174" s="31"/>
      <c r="D174" s="31"/>
      <c r="E174" s="31"/>
    </row>
    <row r="175" spans="2:5" ht="12.75" customHeight="1" x14ac:dyDescent="0.35">
      <c r="B175" s="31"/>
      <c r="D175" s="31"/>
      <c r="E175" s="31"/>
    </row>
    <row r="176" spans="2:5" ht="12.75" customHeight="1" x14ac:dyDescent="0.35">
      <c r="B176" s="31"/>
      <c r="D176" s="31"/>
      <c r="E176" s="31"/>
    </row>
    <row r="177" spans="2:5" ht="12.75" customHeight="1" x14ac:dyDescent="0.35">
      <c r="B177" s="31"/>
      <c r="D177" s="31"/>
      <c r="E177" s="31"/>
    </row>
    <row r="178" spans="2:5" ht="12.75" customHeight="1" x14ac:dyDescent="0.35">
      <c r="B178" s="31"/>
      <c r="D178" s="31"/>
      <c r="E178" s="31"/>
    </row>
    <row r="179" spans="2:5" ht="12.75" customHeight="1" x14ac:dyDescent="0.35">
      <c r="B179" s="31"/>
      <c r="D179" s="31"/>
      <c r="E179" s="31"/>
    </row>
    <row r="180" spans="2:5" ht="12.75" customHeight="1" x14ac:dyDescent="0.35">
      <c r="B180" s="31"/>
      <c r="D180" s="31"/>
      <c r="E180" s="31"/>
    </row>
    <row r="181" spans="2:5" ht="12.75" customHeight="1" x14ac:dyDescent="0.35">
      <c r="B181" s="31"/>
      <c r="D181" s="31"/>
      <c r="E181" s="31"/>
    </row>
    <row r="182" spans="2:5" ht="12.75" customHeight="1" x14ac:dyDescent="0.35">
      <c r="B182" s="31"/>
      <c r="D182" s="31"/>
      <c r="E182" s="31"/>
    </row>
    <row r="183" spans="2:5" ht="12.75" customHeight="1" x14ac:dyDescent="0.35">
      <c r="B183" s="31"/>
      <c r="D183" s="31"/>
      <c r="E183" s="31"/>
    </row>
    <row r="184" spans="2:5" ht="12.75" customHeight="1" x14ac:dyDescent="0.35">
      <c r="B184" s="31"/>
      <c r="D184" s="31"/>
      <c r="E184" s="31"/>
    </row>
    <row r="185" spans="2:5" ht="12.75" customHeight="1" x14ac:dyDescent="0.35">
      <c r="B185" s="31"/>
      <c r="D185" s="31"/>
      <c r="E185" s="31"/>
    </row>
    <row r="186" spans="2:5" ht="12.75" customHeight="1" x14ac:dyDescent="0.35">
      <c r="B186" s="31"/>
      <c r="D186" s="31"/>
      <c r="E186" s="31"/>
    </row>
    <row r="187" spans="2:5" ht="12.75" customHeight="1" x14ac:dyDescent="0.35">
      <c r="B187" s="31"/>
      <c r="D187" s="31"/>
      <c r="E187" s="31"/>
    </row>
    <row r="188" spans="2:5" ht="12.75" customHeight="1" x14ac:dyDescent="0.35">
      <c r="B188" s="31"/>
      <c r="D188" s="31"/>
      <c r="E188" s="31"/>
    </row>
    <row r="189" spans="2:5" ht="12.75" customHeight="1" x14ac:dyDescent="0.35">
      <c r="B189" s="31"/>
      <c r="D189" s="31"/>
      <c r="E189" s="31"/>
    </row>
    <row r="190" spans="2:5" ht="12.75" customHeight="1" x14ac:dyDescent="0.35">
      <c r="B190" s="31"/>
      <c r="D190" s="31"/>
      <c r="E190" s="31"/>
    </row>
    <row r="191" spans="2:5" ht="12.75" customHeight="1" x14ac:dyDescent="0.35">
      <c r="B191" s="31"/>
      <c r="D191" s="31"/>
      <c r="E191" s="31"/>
    </row>
    <row r="192" spans="2:5" ht="12.75" customHeight="1" x14ac:dyDescent="0.35">
      <c r="B192" s="31"/>
      <c r="D192" s="31"/>
      <c r="E192" s="31"/>
    </row>
    <row r="193" spans="2:5" ht="12.75" customHeight="1" x14ac:dyDescent="0.35">
      <c r="B193" s="31"/>
      <c r="D193" s="31"/>
      <c r="E193" s="31"/>
    </row>
    <row r="194" spans="2:5" ht="12.75" customHeight="1" x14ac:dyDescent="0.35">
      <c r="B194" s="31"/>
      <c r="D194" s="31"/>
      <c r="E194" s="31"/>
    </row>
    <row r="195" spans="2:5" ht="12.75" customHeight="1" x14ac:dyDescent="0.35">
      <c r="B195" s="31"/>
      <c r="D195" s="31"/>
      <c r="E195" s="31"/>
    </row>
    <row r="196" spans="2:5" ht="12.75" customHeight="1" x14ac:dyDescent="0.35">
      <c r="B196" s="31"/>
      <c r="D196" s="31"/>
      <c r="E196" s="31"/>
    </row>
    <row r="197" spans="2:5" ht="12.75" customHeight="1" x14ac:dyDescent="0.35">
      <c r="B197" s="31"/>
      <c r="D197" s="31"/>
      <c r="E197" s="31"/>
    </row>
    <row r="198" spans="2:5" ht="12.75" customHeight="1" x14ac:dyDescent="0.35">
      <c r="B198" s="31"/>
      <c r="D198" s="31"/>
      <c r="E198" s="31"/>
    </row>
    <row r="199" spans="2:5" ht="12.75" customHeight="1" x14ac:dyDescent="0.35">
      <c r="B199" s="31"/>
      <c r="D199" s="31"/>
      <c r="E199" s="31"/>
    </row>
    <row r="200" spans="2:5" ht="12.75" customHeight="1" x14ac:dyDescent="0.35">
      <c r="B200" s="31"/>
      <c r="D200" s="31"/>
      <c r="E200" s="31"/>
    </row>
    <row r="201" spans="2:5" ht="12.75" customHeight="1" x14ac:dyDescent="0.35">
      <c r="B201" s="31"/>
      <c r="D201" s="31"/>
      <c r="E201" s="31"/>
    </row>
    <row r="202" spans="2:5" ht="12.75" customHeight="1" x14ac:dyDescent="0.35">
      <c r="B202" s="31"/>
      <c r="D202" s="31"/>
      <c r="E202" s="31"/>
    </row>
    <row r="203" spans="2:5" ht="12.75" customHeight="1" x14ac:dyDescent="0.35">
      <c r="B203" s="31"/>
      <c r="D203" s="31"/>
      <c r="E203" s="31"/>
    </row>
    <row r="204" spans="2:5" ht="12.75" customHeight="1" x14ac:dyDescent="0.35">
      <c r="B204" s="31"/>
      <c r="D204" s="31"/>
      <c r="E204" s="31"/>
    </row>
    <row r="205" spans="2:5" ht="12.75" customHeight="1" x14ac:dyDescent="0.35">
      <c r="B205" s="31"/>
      <c r="D205" s="31"/>
      <c r="E205" s="31"/>
    </row>
    <row r="206" spans="2:5" ht="12.75" customHeight="1" x14ac:dyDescent="0.35">
      <c r="B206" s="31"/>
      <c r="D206" s="31"/>
      <c r="E206" s="31"/>
    </row>
    <row r="207" spans="2:5" ht="12.75" customHeight="1" x14ac:dyDescent="0.35">
      <c r="B207" s="31"/>
      <c r="D207" s="31"/>
      <c r="E207" s="31"/>
    </row>
    <row r="208" spans="2:5" ht="12.75" customHeight="1" x14ac:dyDescent="0.35">
      <c r="B208" s="31"/>
      <c r="D208" s="31"/>
      <c r="E208" s="31"/>
    </row>
    <row r="209" spans="2:5" ht="12.75" customHeight="1" x14ac:dyDescent="0.35">
      <c r="B209" s="31"/>
      <c r="D209" s="31"/>
      <c r="E209" s="31"/>
    </row>
    <row r="210" spans="2:5" ht="12.75" customHeight="1" x14ac:dyDescent="0.35">
      <c r="B210" s="31"/>
      <c r="D210" s="31"/>
      <c r="E210" s="31"/>
    </row>
    <row r="211" spans="2:5" ht="12.75" customHeight="1" x14ac:dyDescent="0.35">
      <c r="B211" s="31"/>
      <c r="D211" s="31"/>
      <c r="E211" s="31"/>
    </row>
    <row r="212" spans="2:5" ht="12.75" customHeight="1" x14ac:dyDescent="0.35">
      <c r="B212" s="31"/>
      <c r="D212" s="31"/>
      <c r="E212" s="31"/>
    </row>
    <row r="213" spans="2:5" ht="12.75" customHeight="1" x14ac:dyDescent="0.35">
      <c r="B213" s="31"/>
      <c r="D213" s="31"/>
      <c r="E213" s="31"/>
    </row>
    <row r="214" spans="2:5" ht="12.75" customHeight="1" x14ac:dyDescent="0.35">
      <c r="B214" s="31"/>
      <c r="D214" s="31"/>
      <c r="E214" s="31"/>
    </row>
    <row r="215" spans="2:5" ht="12.75" customHeight="1" x14ac:dyDescent="0.35">
      <c r="B215" s="31"/>
      <c r="D215" s="31"/>
      <c r="E215" s="31"/>
    </row>
    <row r="216" spans="2:5" ht="12.75" customHeight="1" x14ac:dyDescent="0.35">
      <c r="B216" s="31"/>
      <c r="D216" s="31"/>
      <c r="E216" s="31"/>
    </row>
    <row r="217" spans="2:5" ht="12.75" customHeight="1" x14ac:dyDescent="0.35">
      <c r="B217" s="31"/>
      <c r="D217" s="31"/>
      <c r="E217" s="31"/>
    </row>
    <row r="218" spans="2:5" ht="12.75" customHeight="1" x14ac:dyDescent="0.35">
      <c r="B218" s="31"/>
      <c r="D218" s="31"/>
      <c r="E218" s="31"/>
    </row>
    <row r="219" spans="2:5" ht="12.75" customHeight="1" x14ac:dyDescent="0.35">
      <c r="B219" s="31"/>
      <c r="D219" s="31"/>
      <c r="E219" s="31"/>
    </row>
    <row r="220" spans="2:5" ht="12.75" customHeight="1" x14ac:dyDescent="0.35">
      <c r="B220" s="31"/>
      <c r="D220" s="31"/>
      <c r="E220" s="31"/>
    </row>
    <row r="221" spans="2:5" ht="12.75" customHeight="1" x14ac:dyDescent="0.35">
      <c r="B221" s="31"/>
      <c r="D221" s="31"/>
      <c r="E221" s="31"/>
    </row>
    <row r="222" spans="2:5" ht="12.75" customHeight="1" x14ac:dyDescent="0.35">
      <c r="B222" s="31"/>
      <c r="D222" s="31"/>
      <c r="E222" s="31"/>
    </row>
    <row r="223" spans="2:5" ht="12.75" customHeight="1" x14ac:dyDescent="0.35">
      <c r="B223" s="31"/>
      <c r="D223" s="31"/>
      <c r="E223" s="31"/>
    </row>
    <row r="224" spans="2:5" ht="12.75" customHeight="1" x14ac:dyDescent="0.35">
      <c r="B224" s="31"/>
      <c r="D224" s="31"/>
      <c r="E224" s="31"/>
    </row>
    <row r="225" spans="2:5" ht="12.75" customHeight="1" x14ac:dyDescent="0.35">
      <c r="B225" s="31"/>
      <c r="D225" s="31"/>
      <c r="E225" s="31"/>
    </row>
    <row r="226" spans="2:5" ht="12.75" customHeight="1" x14ac:dyDescent="0.35">
      <c r="B226" s="31"/>
      <c r="D226" s="31"/>
      <c r="E226" s="31"/>
    </row>
    <row r="227" spans="2:5" ht="12.75" customHeight="1" x14ac:dyDescent="0.35">
      <c r="B227" s="31"/>
      <c r="D227" s="31"/>
      <c r="E227" s="31"/>
    </row>
    <row r="228" spans="2:5" ht="12.75" customHeight="1" x14ac:dyDescent="0.35">
      <c r="B228" s="31"/>
      <c r="D228" s="31"/>
      <c r="E228" s="31"/>
    </row>
    <row r="229" spans="2:5" ht="12.75" customHeight="1" x14ac:dyDescent="0.35">
      <c r="B229" s="31"/>
      <c r="D229" s="31"/>
      <c r="E229" s="31"/>
    </row>
    <row r="230" spans="2:5" ht="12.75" customHeight="1" x14ac:dyDescent="0.35">
      <c r="B230" s="31"/>
      <c r="D230" s="31"/>
      <c r="E230" s="31"/>
    </row>
    <row r="231" spans="2:5" ht="12.75" customHeight="1" x14ac:dyDescent="0.35">
      <c r="B231" s="31"/>
      <c r="D231" s="31"/>
      <c r="E231" s="31"/>
    </row>
    <row r="232" spans="2:5" ht="12.75" customHeight="1" x14ac:dyDescent="0.35">
      <c r="B232" s="31"/>
      <c r="D232" s="31"/>
      <c r="E232" s="31"/>
    </row>
    <row r="233" spans="2:5" ht="12.75" customHeight="1" x14ac:dyDescent="0.35">
      <c r="B233" s="31"/>
      <c r="D233" s="31"/>
      <c r="E233" s="31"/>
    </row>
    <row r="234" spans="2:5" ht="12.75" customHeight="1" x14ac:dyDescent="0.35">
      <c r="B234" s="31"/>
      <c r="D234" s="31"/>
      <c r="E234" s="31"/>
    </row>
    <row r="235" spans="2:5" ht="12.75" customHeight="1" x14ac:dyDescent="0.35">
      <c r="B235" s="31"/>
      <c r="D235" s="31"/>
      <c r="E235" s="31"/>
    </row>
    <row r="236" spans="2:5" ht="12.75" customHeight="1" x14ac:dyDescent="0.35">
      <c r="B236" s="31"/>
      <c r="D236" s="31"/>
      <c r="E236" s="31"/>
    </row>
    <row r="237" spans="2:5" ht="12.75" customHeight="1" x14ac:dyDescent="0.35">
      <c r="B237" s="31"/>
      <c r="D237" s="31"/>
      <c r="E237" s="31"/>
    </row>
    <row r="238" spans="2:5" ht="12.75" customHeight="1" x14ac:dyDescent="0.35">
      <c r="B238" s="31"/>
      <c r="D238" s="31"/>
      <c r="E238" s="31"/>
    </row>
    <row r="239" spans="2:5" ht="12.75" customHeight="1" x14ac:dyDescent="0.35">
      <c r="B239" s="31"/>
      <c r="D239" s="31"/>
      <c r="E239" s="31"/>
    </row>
    <row r="240" spans="2:5" ht="12.75" customHeight="1" x14ac:dyDescent="0.35">
      <c r="B240" s="31"/>
      <c r="D240" s="31"/>
      <c r="E240" s="31"/>
    </row>
    <row r="241" spans="2:5" ht="12.75" customHeight="1" x14ac:dyDescent="0.35">
      <c r="B241" s="31"/>
      <c r="D241" s="31"/>
      <c r="E241" s="31"/>
    </row>
    <row r="242" spans="2:5" ht="12.75" customHeight="1" x14ac:dyDescent="0.35">
      <c r="B242" s="31"/>
      <c r="D242" s="31"/>
      <c r="E242" s="31"/>
    </row>
    <row r="243" spans="2:5" ht="12.75" customHeight="1" x14ac:dyDescent="0.35">
      <c r="B243" s="31"/>
      <c r="D243" s="31"/>
      <c r="E243" s="31"/>
    </row>
    <row r="244" spans="2:5" ht="12.75" customHeight="1" x14ac:dyDescent="0.35">
      <c r="B244" s="31"/>
      <c r="D244" s="31"/>
      <c r="E244" s="31"/>
    </row>
    <row r="245" spans="2:5" ht="12.75" customHeight="1" x14ac:dyDescent="0.35">
      <c r="B245" s="31"/>
      <c r="D245" s="31"/>
      <c r="E245" s="31"/>
    </row>
    <row r="246" spans="2:5" ht="12.75" customHeight="1" x14ac:dyDescent="0.35">
      <c r="B246" s="31"/>
      <c r="D246" s="31"/>
      <c r="E246" s="31"/>
    </row>
    <row r="247" spans="2:5" ht="12.75" customHeight="1" x14ac:dyDescent="0.35">
      <c r="B247" s="31"/>
      <c r="D247" s="31"/>
      <c r="E247" s="31"/>
    </row>
    <row r="248" spans="2:5" ht="12.75" customHeight="1" x14ac:dyDescent="0.35">
      <c r="B248" s="31"/>
      <c r="D248" s="31"/>
      <c r="E248" s="31"/>
    </row>
    <row r="249" spans="2:5" ht="12.75" customHeight="1" x14ac:dyDescent="0.35">
      <c r="B249" s="31"/>
      <c r="D249" s="31"/>
      <c r="E249" s="31"/>
    </row>
    <row r="250" spans="2:5" ht="12.75" customHeight="1" x14ac:dyDescent="0.35">
      <c r="B250" s="31"/>
      <c r="D250" s="31"/>
      <c r="E250" s="31"/>
    </row>
    <row r="251" spans="2:5" ht="12.75" customHeight="1" x14ac:dyDescent="0.35">
      <c r="B251" s="31"/>
      <c r="D251" s="31"/>
      <c r="E251" s="31"/>
    </row>
    <row r="252" spans="2:5" ht="12.75" customHeight="1" x14ac:dyDescent="0.35">
      <c r="B252" s="31"/>
      <c r="D252" s="31"/>
      <c r="E252" s="31"/>
    </row>
    <row r="253" spans="2:5" ht="12.75" customHeight="1" x14ac:dyDescent="0.35">
      <c r="B253" s="31"/>
      <c r="D253" s="31"/>
      <c r="E253" s="31"/>
    </row>
    <row r="254" spans="2:5" ht="12.75" customHeight="1" x14ac:dyDescent="0.35">
      <c r="B254" s="31"/>
      <c r="D254" s="31"/>
      <c r="E254" s="31"/>
    </row>
    <row r="255" spans="2:5" ht="12.75" customHeight="1" x14ac:dyDescent="0.35">
      <c r="B255" s="31"/>
      <c r="D255" s="31"/>
      <c r="E255" s="31"/>
    </row>
    <row r="256" spans="2:5" ht="12.75" customHeight="1" x14ac:dyDescent="0.35">
      <c r="B256" s="31"/>
      <c r="D256" s="31"/>
      <c r="E256" s="31"/>
    </row>
    <row r="257" spans="2:5" ht="12.75" customHeight="1" x14ac:dyDescent="0.35">
      <c r="B257" s="31"/>
      <c r="D257" s="31"/>
      <c r="E257" s="31"/>
    </row>
    <row r="258" spans="2:5" ht="12.75" customHeight="1" x14ac:dyDescent="0.35">
      <c r="B258" s="31"/>
      <c r="D258" s="31"/>
      <c r="E258" s="31"/>
    </row>
    <row r="259" spans="2:5" ht="12.75" customHeight="1" x14ac:dyDescent="0.35">
      <c r="B259" s="31"/>
      <c r="D259" s="31"/>
      <c r="E259" s="31"/>
    </row>
    <row r="260" spans="2:5" ht="12.75" customHeight="1" x14ac:dyDescent="0.35">
      <c r="B260" s="31"/>
      <c r="D260" s="31"/>
      <c r="E260" s="31"/>
    </row>
    <row r="261" spans="2:5" ht="12.75" customHeight="1" x14ac:dyDescent="0.35">
      <c r="B261" s="31"/>
      <c r="D261" s="31"/>
      <c r="E261" s="31"/>
    </row>
    <row r="262" spans="2:5" ht="12.75" customHeight="1" x14ac:dyDescent="0.35">
      <c r="B262" s="31"/>
      <c r="D262" s="31"/>
      <c r="E262" s="31"/>
    </row>
    <row r="263" spans="2:5" ht="12.75" customHeight="1" x14ac:dyDescent="0.35">
      <c r="B263" s="31"/>
      <c r="D263" s="31"/>
      <c r="E263" s="31"/>
    </row>
    <row r="264" spans="2:5" ht="12.75" customHeight="1" x14ac:dyDescent="0.35">
      <c r="B264" s="31"/>
      <c r="D264" s="31"/>
      <c r="E264" s="31"/>
    </row>
    <row r="265" spans="2:5" ht="12.75" customHeight="1" x14ac:dyDescent="0.35">
      <c r="B265" s="31"/>
      <c r="D265" s="31"/>
      <c r="E265" s="31"/>
    </row>
    <row r="266" spans="2:5" ht="12.75" customHeight="1" x14ac:dyDescent="0.35">
      <c r="B266" s="31"/>
      <c r="D266" s="31"/>
      <c r="E266" s="31"/>
    </row>
    <row r="267" spans="2:5" ht="12.75" customHeight="1" x14ac:dyDescent="0.35">
      <c r="B267" s="31"/>
      <c r="D267" s="31"/>
      <c r="E267" s="31"/>
    </row>
    <row r="268" spans="2:5" ht="12.75" customHeight="1" x14ac:dyDescent="0.35">
      <c r="B268" s="31"/>
      <c r="D268" s="31"/>
      <c r="E268" s="31"/>
    </row>
    <row r="269" spans="2:5" ht="12.75" customHeight="1" x14ac:dyDescent="0.35">
      <c r="B269" s="31"/>
      <c r="D269" s="31"/>
      <c r="E269" s="31"/>
    </row>
    <row r="270" spans="2:5" ht="12.75" customHeight="1" x14ac:dyDescent="0.35">
      <c r="B270" s="31"/>
      <c r="D270" s="31"/>
      <c r="E270" s="31"/>
    </row>
    <row r="271" spans="2:5" ht="12.75" customHeight="1" x14ac:dyDescent="0.35">
      <c r="B271" s="31"/>
      <c r="D271" s="31"/>
      <c r="E271" s="31"/>
    </row>
    <row r="272" spans="2:5" ht="12.75" customHeight="1" x14ac:dyDescent="0.35">
      <c r="B272" s="31"/>
      <c r="D272" s="31"/>
      <c r="E272" s="31"/>
    </row>
    <row r="273" spans="2:5" ht="12.75" customHeight="1" x14ac:dyDescent="0.35">
      <c r="B273" s="31"/>
      <c r="D273" s="31"/>
      <c r="E273" s="31"/>
    </row>
    <row r="274" spans="2:5" ht="12.75" customHeight="1" x14ac:dyDescent="0.35">
      <c r="B274" s="31"/>
      <c r="D274" s="31"/>
      <c r="E274" s="31"/>
    </row>
    <row r="275" spans="2:5" ht="12.75" customHeight="1" x14ac:dyDescent="0.35">
      <c r="B275" s="31"/>
      <c r="D275" s="31"/>
      <c r="E275" s="31"/>
    </row>
    <row r="276" spans="2:5" ht="12.75" customHeight="1" x14ac:dyDescent="0.35">
      <c r="B276" s="31"/>
      <c r="D276" s="31"/>
      <c r="E276" s="31"/>
    </row>
    <row r="277" spans="2:5" ht="12.75" customHeight="1" x14ac:dyDescent="0.35">
      <c r="B277" s="31"/>
      <c r="D277" s="31"/>
      <c r="E277" s="31"/>
    </row>
    <row r="278" spans="2:5" ht="12.75" customHeight="1" x14ac:dyDescent="0.35">
      <c r="B278" s="31"/>
      <c r="D278" s="31"/>
      <c r="E278" s="31"/>
    </row>
    <row r="279" spans="2:5" ht="12.75" customHeight="1" x14ac:dyDescent="0.35">
      <c r="B279" s="31"/>
      <c r="D279" s="31"/>
      <c r="E279" s="31"/>
    </row>
    <row r="280" spans="2:5" ht="12.75" customHeight="1" x14ac:dyDescent="0.35">
      <c r="B280" s="31"/>
      <c r="D280" s="31"/>
      <c r="E280" s="31"/>
    </row>
    <row r="281" spans="2:5" ht="12.75" customHeight="1" x14ac:dyDescent="0.35">
      <c r="B281" s="31"/>
      <c r="D281" s="31"/>
      <c r="E281" s="31"/>
    </row>
    <row r="282" spans="2:5" ht="12.75" customHeight="1" x14ac:dyDescent="0.35">
      <c r="B282" s="31"/>
      <c r="D282" s="31"/>
      <c r="E282" s="31"/>
    </row>
    <row r="283" spans="2:5" ht="12.75" customHeight="1" x14ac:dyDescent="0.35">
      <c r="B283" s="31"/>
      <c r="D283" s="31"/>
      <c r="E283" s="31"/>
    </row>
    <row r="284" spans="2:5" ht="12.75" customHeight="1" x14ac:dyDescent="0.35">
      <c r="B284" s="31"/>
      <c r="D284" s="31"/>
      <c r="E284" s="31"/>
    </row>
    <row r="285" spans="2:5" ht="12.75" customHeight="1" x14ac:dyDescent="0.35">
      <c r="B285" s="31"/>
      <c r="D285" s="31"/>
      <c r="E285" s="31"/>
    </row>
    <row r="286" spans="2:5" ht="12.75" customHeight="1" x14ac:dyDescent="0.35">
      <c r="B286" s="31"/>
      <c r="D286" s="31"/>
      <c r="E286" s="31"/>
    </row>
    <row r="287" spans="2:5" ht="12.75" customHeight="1" x14ac:dyDescent="0.35">
      <c r="B287" s="31"/>
      <c r="D287" s="31"/>
      <c r="E287" s="31"/>
    </row>
    <row r="288" spans="2:5" ht="12.75" customHeight="1" x14ac:dyDescent="0.35">
      <c r="B288" s="31"/>
      <c r="D288" s="31"/>
      <c r="E288" s="31"/>
    </row>
    <row r="289" spans="2:5" ht="12.75" customHeight="1" x14ac:dyDescent="0.35">
      <c r="B289" s="31"/>
      <c r="D289" s="31"/>
      <c r="E289" s="31"/>
    </row>
    <row r="290" spans="2:5" ht="12.75" customHeight="1" x14ac:dyDescent="0.35">
      <c r="B290" s="31"/>
      <c r="D290" s="31"/>
      <c r="E290" s="31"/>
    </row>
    <row r="291" spans="2:5" ht="12.75" customHeight="1" x14ac:dyDescent="0.35">
      <c r="B291" s="31"/>
      <c r="D291" s="31"/>
      <c r="E291" s="31"/>
    </row>
    <row r="292" spans="2:5" ht="12.75" customHeight="1" x14ac:dyDescent="0.35">
      <c r="B292" s="31"/>
      <c r="D292" s="31"/>
      <c r="E292" s="31"/>
    </row>
    <row r="293" spans="2:5" ht="12.75" customHeight="1" x14ac:dyDescent="0.35">
      <c r="B293" s="31"/>
      <c r="D293" s="31"/>
      <c r="E293" s="31"/>
    </row>
    <row r="294" spans="2:5" ht="12.75" customHeight="1" x14ac:dyDescent="0.35">
      <c r="B294" s="31"/>
      <c r="D294" s="31"/>
      <c r="E294" s="31"/>
    </row>
    <row r="295" spans="2:5" ht="12.75" customHeight="1" x14ac:dyDescent="0.35">
      <c r="B295" s="31"/>
      <c r="D295" s="31"/>
      <c r="E295" s="31"/>
    </row>
    <row r="296" spans="2:5" ht="12.75" customHeight="1" x14ac:dyDescent="0.35">
      <c r="B296" s="31"/>
      <c r="D296" s="31"/>
      <c r="E296" s="31"/>
    </row>
    <row r="297" spans="2:5" ht="12.75" customHeight="1" x14ac:dyDescent="0.35">
      <c r="B297" s="31"/>
      <c r="D297" s="31"/>
      <c r="E297" s="31"/>
    </row>
    <row r="298" spans="2:5" ht="12.75" customHeight="1" x14ac:dyDescent="0.35">
      <c r="B298" s="31"/>
      <c r="D298" s="31"/>
      <c r="E298" s="31"/>
    </row>
    <row r="299" spans="2:5" ht="12.75" customHeight="1" x14ac:dyDescent="0.35">
      <c r="B299" s="31"/>
      <c r="D299" s="31"/>
      <c r="E299" s="31"/>
    </row>
  </sheetData>
  <sheetProtection algorithmName="SHA-512" hashValue="7OyvwnFxGXVOjLpjAz1BukPOltahWWKFAPetdRPZleyzA0hsn9x99vAPgyou1HWXVMRYSDUPHP2Aa8mAvJPckg==" saltValue="huVks4P6Y24s6KHRg5XxrA==" spinCount="100000" sheet="1" objects="1" scenario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63B84-5CB9-4F58-9BF2-9A0A3EA1E8DE}">
  <sheetPr codeName="Sheet12"/>
  <dimension ref="B1:W303"/>
  <sheetViews>
    <sheetView workbookViewId="0">
      <selection activeCell="K1" sqref="K1"/>
    </sheetView>
  </sheetViews>
  <sheetFormatPr defaultRowHeight="12.75" x14ac:dyDescent="0.35"/>
  <cols>
    <col min="2" max="2" width="43.86328125" bestFit="1" customWidth="1"/>
    <col min="3" max="3" width="12.265625" style="31" hidden="1" customWidth="1"/>
    <col min="4" max="4" width="13.06640625" hidden="1" customWidth="1"/>
    <col min="5" max="5" width="13.06640625" style="34" hidden="1" customWidth="1"/>
    <col min="6" max="6" width="13.06640625" style="69" hidden="1" customWidth="1"/>
    <col min="7" max="8" width="12" hidden="1" customWidth="1"/>
    <col min="9" max="11" width="9.796875" bestFit="1" customWidth="1"/>
    <col min="12" max="12" width="11.06640625" bestFit="1" customWidth="1"/>
    <col min="14" max="16" width="9.796875" bestFit="1" customWidth="1"/>
    <col min="17" max="17" width="11.06640625" bestFit="1" customWidth="1"/>
    <col min="19" max="21" width="9.796875" bestFit="1" customWidth="1"/>
    <col min="22" max="22" width="11.06640625" bestFit="1" customWidth="1"/>
    <col min="23" max="23" width="63.796875" customWidth="1"/>
  </cols>
  <sheetData>
    <row r="1" spans="2:23" ht="12.75" customHeight="1" x14ac:dyDescent="0.35">
      <c r="B1" s="145" t="s">
        <v>307</v>
      </c>
      <c r="C1" s="76"/>
      <c r="D1" s="52"/>
      <c r="E1" s="52"/>
      <c r="F1" s="68"/>
    </row>
    <row r="2" spans="2:23" ht="12.75" customHeight="1" x14ac:dyDescent="0.35">
      <c r="B2" s="52"/>
      <c r="C2" s="76"/>
      <c r="D2" s="52"/>
      <c r="E2" s="52"/>
      <c r="F2" s="68"/>
    </row>
    <row r="3" spans="2:23" ht="12.75" customHeight="1" x14ac:dyDescent="0.35">
      <c r="B3" s="52"/>
      <c r="C3" s="76"/>
      <c r="D3" s="52"/>
      <c r="E3" s="52"/>
      <c r="F3" s="68"/>
    </row>
    <row r="4" spans="2:23" ht="12.75" customHeight="1" x14ac:dyDescent="0.35">
      <c r="B4" s="52"/>
      <c r="C4" s="76"/>
      <c r="D4" s="52"/>
      <c r="E4" s="52"/>
      <c r="F4" s="68"/>
    </row>
    <row r="5" spans="2:23" ht="12.75" customHeight="1" x14ac:dyDescent="0.35">
      <c r="B5" s="52"/>
      <c r="C5" s="76"/>
      <c r="D5" s="52"/>
      <c r="E5" s="52"/>
      <c r="F5" s="68"/>
    </row>
    <row r="6" spans="2:23" ht="15.4" customHeight="1" thickBot="1" x14ac:dyDescent="0.4">
      <c r="B6" s="136"/>
      <c r="C6" s="76"/>
      <c r="D6" s="52"/>
      <c r="E6" s="52"/>
      <c r="F6" s="68"/>
    </row>
    <row r="7" spans="2:23" ht="12.75" customHeight="1" thickTop="1" x14ac:dyDescent="0.35">
      <c r="I7" s="202" t="s">
        <v>294</v>
      </c>
      <c r="J7" s="207"/>
      <c r="K7" s="188"/>
      <c r="L7" s="189"/>
      <c r="N7" s="202" t="s">
        <v>224</v>
      </c>
      <c r="O7" s="236" t="str">
        <f>B1</f>
        <v>Option G</v>
      </c>
      <c r="P7" s="188"/>
      <c r="Q7" s="189"/>
      <c r="S7" s="202" t="s">
        <v>295</v>
      </c>
      <c r="T7" s="207"/>
      <c r="U7" s="188"/>
      <c r="V7" s="189"/>
    </row>
    <row r="8" spans="2:23" ht="12.75" customHeight="1" x14ac:dyDescent="0.35">
      <c r="C8" s="77"/>
      <c r="F8" s="144" t="s">
        <v>140</v>
      </c>
      <c r="G8" s="144" t="s">
        <v>140</v>
      </c>
      <c r="I8" s="208"/>
      <c r="J8" s="209"/>
      <c r="K8" s="190" t="s">
        <v>140</v>
      </c>
      <c r="L8" s="191" t="s">
        <v>140</v>
      </c>
      <c r="N8" s="208"/>
      <c r="O8" s="209"/>
      <c r="P8" s="190" t="s">
        <v>140</v>
      </c>
      <c r="Q8" s="191" t="s">
        <v>140</v>
      </c>
      <c r="S8" s="208"/>
      <c r="T8" s="209"/>
      <c r="U8" s="190" t="s">
        <v>140</v>
      </c>
      <c r="V8" s="191" t="s">
        <v>140</v>
      </c>
    </row>
    <row r="9" spans="2:23" ht="12.75" customHeight="1" thickBot="1" x14ac:dyDescent="0.4">
      <c r="B9" s="4"/>
      <c r="C9" s="78"/>
      <c r="D9" s="47">
        <v>43983</v>
      </c>
      <c r="E9" s="46">
        <v>44348</v>
      </c>
      <c r="F9" s="70">
        <v>44713</v>
      </c>
      <c r="G9" s="130" t="s">
        <v>238</v>
      </c>
      <c r="I9" s="192">
        <v>43983</v>
      </c>
      <c r="J9" s="193">
        <v>44348</v>
      </c>
      <c r="K9" s="194">
        <v>44713</v>
      </c>
      <c r="L9" s="195" t="s">
        <v>238</v>
      </c>
      <c r="N9" s="192">
        <v>43983</v>
      </c>
      <c r="O9" s="193">
        <v>44348</v>
      </c>
      <c r="P9" s="194">
        <v>44713</v>
      </c>
      <c r="Q9" s="195" t="s">
        <v>238</v>
      </c>
      <c r="S9" s="192">
        <v>43983</v>
      </c>
      <c r="T9" s="193">
        <v>44348</v>
      </c>
      <c r="U9" s="194">
        <v>44713</v>
      </c>
      <c r="V9" s="195" t="s">
        <v>238</v>
      </c>
    </row>
    <row r="10" spans="2:23" ht="12.75" customHeight="1" thickTop="1" thickBot="1" x14ac:dyDescent="0.4">
      <c r="C10" s="79"/>
      <c r="D10" s="9" t="s">
        <v>223</v>
      </c>
      <c r="E10" s="44" t="s">
        <v>131</v>
      </c>
      <c r="F10" s="9" t="s">
        <v>131</v>
      </c>
      <c r="G10" s="9" t="s">
        <v>131</v>
      </c>
      <c r="I10" s="203" t="s">
        <v>223</v>
      </c>
      <c r="J10" s="204" t="s">
        <v>131</v>
      </c>
      <c r="K10" s="205" t="s">
        <v>131</v>
      </c>
      <c r="L10" s="206" t="s">
        <v>131</v>
      </c>
      <c r="N10" s="203" t="s">
        <v>223</v>
      </c>
      <c r="O10" s="204" t="s">
        <v>131</v>
      </c>
      <c r="P10" s="205" t="s">
        <v>131</v>
      </c>
      <c r="Q10" s="206" t="s">
        <v>131</v>
      </c>
      <c r="S10" s="203" t="s">
        <v>223</v>
      </c>
      <c r="T10" s="204" t="s">
        <v>131</v>
      </c>
      <c r="U10" s="205" t="s">
        <v>131</v>
      </c>
      <c r="V10" s="225" t="s">
        <v>131</v>
      </c>
      <c r="W10" s="233" t="s">
        <v>297</v>
      </c>
    </row>
    <row r="11" spans="2:23" ht="12.75" customHeight="1" thickTop="1" x14ac:dyDescent="0.35">
      <c r="B11" s="3" t="s">
        <v>3</v>
      </c>
      <c r="G11" s="129"/>
      <c r="I11" s="210"/>
      <c r="J11" s="211"/>
      <c r="K11" s="211"/>
      <c r="L11" s="212"/>
      <c r="N11" s="210"/>
      <c r="O11" s="211"/>
      <c r="P11" s="211"/>
      <c r="Q11" s="212"/>
      <c r="S11" s="210"/>
      <c r="T11" s="211"/>
      <c r="U11" s="211"/>
      <c r="V11" s="226"/>
      <c r="W11" s="234"/>
    </row>
    <row r="12" spans="2:23" ht="12.75" customHeight="1" x14ac:dyDescent="0.35">
      <c r="B12" s="3" t="s">
        <v>4</v>
      </c>
      <c r="C12" s="81"/>
      <c r="D12" s="103">
        <v>45700</v>
      </c>
      <c r="E12" s="103">
        <v>36700</v>
      </c>
      <c r="F12" s="103">
        <v>36700</v>
      </c>
      <c r="G12" s="103">
        <f>'BASE - Pre CV-19'!O19</f>
        <v>23700</v>
      </c>
      <c r="I12" s="196">
        <f>D12</f>
        <v>45700</v>
      </c>
      <c r="J12" s="197">
        <f t="shared" ref="J12:L12" si="0">E12</f>
        <v>36700</v>
      </c>
      <c r="K12" s="197">
        <f t="shared" si="0"/>
        <v>36700</v>
      </c>
      <c r="L12" s="198">
        <f t="shared" si="0"/>
        <v>23700</v>
      </c>
      <c r="M12" s="138"/>
      <c r="N12" s="196">
        <f>D13</f>
        <v>33984</v>
      </c>
      <c r="O12" s="197">
        <f t="shared" ref="O12:Q12" si="1">E13</f>
        <v>27500</v>
      </c>
      <c r="P12" s="197">
        <f t="shared" si="1"/>
        <v>27500</v>
      </c>
      <c r="Q12" s="198">
        <f t="shared" si="1"/>
        <v>23700</v>
      </c>
      <c r="R12" s="138"/>
      <c r="S12" s="196">
        <f>N12-I12</f>
        <v>-11716</v>
      </c>
      <c r="T12" s="197">
        <f t="shared" ref="T12:V12" si="2">O12-J12</f>
        <v>-9200</v>
      </c>
      <c r="U12" s="197">
        <f t="shared" si="2"/>
        <v>-9200</v>
      </c>
      <c r="V12" s="227">
        <f t="shared" si="2"/>
        <v>0</v>
      </c>
      <c r="W12" s="234" t="s">
        <v>298</v>
      </c>
    </row>
    <row r="13" spans="2:23" ht="12.75" customHeight="1" x14ac:dyDescent="0.35">
      <c r="C13" s="100" t="s">
        <v>224</v>
      </c>
      <c r="D13" s="104">
        <v>33984</v>
      </c>
      <c r="E13" s="105">
        <v>27500</v>
      </c>
      <c r="F13" s="104">
        <v>27500</v>
      </c>
      <c r="G13" s="104">
        <f>G12</f>
        <v>23700</v>
      </c>
      <c r="I13" s="213"/>
      <c r="J13" s="214"/>
      <c r="K13" s="214"/>
      <c r="L13" s="215"/>
      <c r="N13" s="213"/>
      <c r="O13" s="214"/>
      <c r="P13" s="214"/>
      <c r="Q13" s="215"/>
      <c r="S13" s="213"/>
      <c r="T13" s="214"/>
      <c r="U13" s="214"/>
      <c r="V13" s="228"/>
      <c r="W13" s="234"/>
    </row>
    <row r="14" spans="2:23" ht="12.75" customHeight="1" x14ac:dyDescent="0.35">
      <c r="B14" s="3" t="s">
        <v>10</v>
      </c>
      <c r="D14" s="106"/>
      <c r="E14" s="107"/>
      <c r="F14" s="108"/>
      <c r="I14" s="210"/>
      <c r="J14" s="211"/>
      <c r="K14" s="211"/>
      <c r="L14" s="211"/>
      <c r="N14" s="210"/>
      <c r="O14" s="211"/>
      <c r="P14" s="211"/>
      <c r="Q14" s="211"/>
      <c r="S14" s="210"/>
      <c r="T14" s="211"/>
      <c r="U14" s="211"/>
      <c r="V14" s="226"/>
      <c r="W14" s="234"/>
    </row>
    <row r="15" spans="2:23" ht="12.75" customHeight="1" x14ac:dyDescent="0.35">
      <c r="B15" s="3" t="s">
        <v>11</v>
      </c>
      <c r="D15" s="103">
        <v>181992.66750000001</v>
      </c>
      <c r="E15" s="103">
        <v>191092.30087500002</v>
      </c>
      <c r="F15" s="103">
        <v>200646.91591875005</v>
      </c>
      <c r="G15" s="103">
        <f>'BASE - Pre CV-19'!O31</f>
        <v>210679.26171468751</v>
      </c>
      <c r="I15" s="196">
        <f>D15</f>
        <v>181992.66750000001</v>
      </c>
      <c r="J15" s="197">
        <f t="shared" ref="J15:L15" si="3">E15</f>
        <v>191092.30087500002</v>
      </c>
      <c r="K15" s="197">
        <f t="shared" si="3"/>
        <v>200646.91591875005</v>
      </c>
      <c r="L15" s="198">
        <f t="shared" si="3"/>
        <v>210679.26171468751</v>
      </c>
      <c r="M15" s="138"/>
      <c r="N15" s="196">
        <f>D16</f>
        <v>192659</v>
      </c>
      <c r="O15" s="197">
        <f t="shared" ref="O15:Q15" si="4">E16</f>
        <v>181537.68583125001</v>
      </c>
      <c r="P15" s="197">
        <f t="shared" si="4"/>
        <v>190614.57012281253</v>
      </c>
      <c r="Q15" s="198">
        <f t="shared" si="4"/>
        <v>200145.29862895314</v>
      </c>
      <c r="R15" s="138"/>
      <c r="S15" s="196">
        <f>N15-I15</f>
        <v>10666.33249999999</v>
      </c>
      <c r="T15" s="197">
        <f t="shared" ref="T15:V15" si="5">O15-J15</f>
        <v>-9554.6150437500037</v>
      </c>
      <c r="U15" s="197">
        <f t="shared" si="5"/>
        <v>-10032.345795937523</v>
      </c>
      <c r="V15" s="227">
        <f t="shared" si="5"/>
        <v>-10533.963085734373</v>
      </c>
      <c r="W15" s="234" t="s">
        <v>323</v>
      </c>
    </row>
    <row r="16" spans="2:23" ht="12.75" customHeight="1" x14ac:dyDescent="0.35">
      <c r="C16" s="100" t="s">
        <v>224</v>
      </c>
      <c r="D16" s="105">
        <v>192659</v>
      </c>
      <c r="E16" s="105">
        <f>E15*0.95</f>
        <v>181537.68583125001</v>
      </c>
      <c r="F16" s="105">
        <f>F15*0.95</f>
        <v>190614.57012281253</v>
      </c>
      <c r="G16" s="105">
        <f>G15*0.95</f>
        <v>200145.29862895314</v>
      </c>
      <c r="I16" s="216"/>
      <c r="J16" s="217"/>
      <c r="K16" s="217"/>
      <c r="L16" s="218"/>
      <c r="M16" s="138"/>
      <c r="N16" s="216"/>
      <c r="O16" s="217"/>
      <c r="P16" s="217"/>
      <c r="Q16" s="218"/>
      <c r="R16" s="138"/>
      <c r="S16" s="216"/>
      <c r="T16" s="217"/>
      <c r="U16" s="217"/>
      <c r="V16" s="229"/>
      <c r="W16" s="234"/>
    </row>
    <row r="17" spans="2:23" ht="12.75" customHeight="1" x14ac:dyDescent="0.35">
      <c r="B17" s="3" t="s">
        <v>19</v>
      </c>
      <c r="C17" s="81"/>
      <c r="D17" s="103">
        <v>274023.0999545455</v>
      </c>
      <c r="E17" s="103">
        <v>287724.25495227281</v>
      </c>
      <c r="F17" s="103">
        <v>302110.46769988647</v>
      </c>
      <c r="G17" s="103">
        <f>'BASE - Pre CV-19'!O39</f>
        <v>290842.64897795231</v>
      </c>
      <c r="H17" s="133"/>
      <c r="I17" s="196">
        <f>D17</f>
        <v>274023.0999545455</v>
      </c>
      <c r="J17" s="197">
        <f t="shared" ref="J17:L17" si="6">E17</f>
        <v>287724.25495227281</v>
      </c>
      <c r="K17" s="197">
        <f t="shared" si="6"/>
        <v>302110.46769988647</v>
      </c>
      <c r="L17" s="198">
        <f t="shared" si="6"/>
        <v>290842.64897795231</v>
      </c>
      <c r="M17" s="138"/>
      <c r="N17" s="196">
        <f>D18</f>
        <v>258682</v>
      </c>
      <c r="O17" s="197">
        <f t="shared" ref="O17:Q17" si="7">E18</f>
        <v>215793.19121420459</v>
      </c>
      <c r="P17" s="197">
        <f t="shared" si="7"/>
        <v>226582.85077491484</v>
      </c>
      <c r="Q17" s="198">
        <f t="shared" si="7"/>
        <v>218131.98673346423</v>
      </c>
      <c r="R17" s="138"/>
      <c r="S17" s="196">
        <f>N17-I17</f>
        <v>-15341.099954545498</v>
      </c>
      <c r="T17" s="197">
        <f t="shared" ref="T17:V17" si="8">O17-J17</f>
        <v>-71931.063738068216</v>
      </c>
      <c r="U17" s="197">
        <f t="shared" si="8"/>
        <v>-75527.616924971633</v>
      </c>
      <c r="V17" s="227">
        <f t="shared" si="8"/>
        <v>-72710.662244488078</v>
      </c>
      <c r="W17" s="234" t="s">
        <v>322</v>
      </c>
    </row>
    <row r="18" spans="2:23" ht="12.75" customHeight="1" x14ac:dyDescent="0.35">
      <c r="C18" s="100" t="s">
        <v>224</v>
      </c>
      <c r="D18" s="104">
        <v>258682</v>
      </c>
      <c r="E18" s="105">
        <f>E17*0.75</f>
        <v>215793.19121420459</v>
      </c>
      <c r="F18" s="105">
        <f t="shared" ref="F18:G18" si="9">F17*0.75</f>
        <v>226582.85077491484</v>
      </c>
      <c r="G18" s="105">
        <f t="shared" si="9"/>
        <v>218131.98673346423</v>
      </c>
      <c r="I18" s="213"/>
      <c r="J18" s="214"/>
      <c r="K18" s="214"/>
      <c r="L18" s="215"/>
      <c r="N18" s="213"/>
      <c r="O18" s="214"/>
      <c r="P18" s="214"/>
      <c r="Q18" s="215"/>
      <c r="S18" s="213"/>
      <c r="T18" s="214"/>
      <c r="U18" s="214"/>
      <c r="V18" s="228"/>
      <c r="W18" s="234"/>
    </row>
    <row r="19" spans="2:23" ht="12.75" customHeight="1" thickBot="1" x14ac:dyDescent="0.4">
      <c r="B19" s="6" t="s">
        <v>27</v>
      </c>
      <c r="C19" s="82"/>
      <c r="D19" s="103">
        <f>D17+D15</f>
        <v>456015.76745454548</v>
      </c>
      <c r="E19" s="103">
        <f>E17+E15</f>
        <v>478816.55582727282</v>
      </c>
      <c r="F19" s="103">
        <f>F17+F15</f>
        <v>502757.38361863652</v>
      </c>
      <c r="G19" s="103">
        <f>G17+G15</f>
        <v>501521.91069263982</v>
      </c>
      <c r="I19" s="196">
        <f>D19</f>
        <v>456015.76745454548</v>
      </c>
      <c r="J19" s="197">
        <f t="shared" ref="J19:L19" si="10">E19</f>
        <v>478816.55582727282</v>
      </c>
      <c r="K19" s="197">
        <f t="shared" si="10"/>
        <v>502757.38361863652</v>
      </c>
      <c r="L19" s="198">
        <f t="shared" si="10"/>
        <v>501521.91069263982</v>
      </c>
      <c r="M19" s="138"/>
      <c r="N19" s="196">
        <f>D20</f>
        <v>451341</v>
      </c>
      <c r="O19" s="197">
        <f t="shared" ref="O19:Q19" si="11">E20</f>
        <v>397330.87704545457</v>
      </c>
      <c r="P19" s="197">
        <f t="shared" si="11"/>
        <v>417197.42089772737</v>
      </c>
      <c r="Q19" s="198">
        <f t="shared" si="11"/>
        <v>418277.28536241734</v>
      </c>
      <c r="R19" s="138"/>
      <c r="S19" s="196">
        <f>N19-I19</f>
        <v>-4674.7674545454793</v>
      </c>
      <c r="T19" s="197">
        <f t="shared" ref="T19:V19" si="12">O19-J19</f>
        <v>-81485.678781818249</v>
      </c>
      <c r="U19" s="197">
        <f t="shared" si="12"/>
        <v>-85559.962720909156</v>
      </c>
      <c r="V19" s="227">
        <f t="shared" si="12"/>
        <v>-83244.62533022248</v>
      </c>
      <c r="W19" s="234"/>
    </row>
    <row r="20" spans="2:23" ht="12.75" customHeight="1" thickTop="1" x14ac:dyDescent="0.35">
      <c r="C20" s="100" t="s">
        <v>224</v>
      </c>
      <c r="D20" s="105">
        <f>D18+D16</f>
        <v>451341</v>
      </c>
      <c r="E20" s="105">
        <f>E18+E16</f>
        <v>397330.87704545457</v>
      </c>
      <c r="F20" s="105">
        <f>F18+F16</f>
        <v>417197.42089772737</v>
      </c>
      <c r="G20" s="105">
        <f>G18+G16</f>
        <v>418277.28536241734</v>
      </c>
      <c r="I20" s="216"/>
      <c r="J20" s="217"/>
      <c r="K20" s="217"/>
      <c r="L20" s="218"/>
      <c r="M20" s="138"/>
      <c r="N20" s="216"/>
      <c r="O20" s="217"/>
      <c r="P20" s="217"/>
      <c r="Q20" s="218"/>
      <c r="R20" s="138"/>
      <c r="S20" s="216"/>
      <c r="T20" s="217"/>
      <c r="U20" s="217"/>
      <c r="V20" s="229"/>
      <c r="W20" s="234"/>
    </row>
    <row r="21" spans="2:23" ht="12.75" hidden="1" customHeight="1" x14ac:dyDescent="0.35">
      <c r="B21" s="1" t="s">
        <v>34</v>
      </c>
      <c r="C21" s="80"/>
      <c r="D21" s="101"/>
      <c r="E21" s="109"/>
      <c r="F21" s="101"/>
      <c r="I21" s="196"/>
      <c r="J21" s="197"/>
      <c r="K21" s="197"/>
      <c r="L21" s="198"/>
      <c r="M21" s="138"/>
      <c r="N21" s="196"/>
      <c r="O21" s="197"/>
      <c r="P21" s="197"/>
      <c r="Q21" s="198"/>
      <c r="R21" s="138"/>
      <c r="S21" s="196"/>
      <c r="T21" s="197"/>
      <c r="U21" s="197"/>
      <c r="V21" s="227"/>
      <c r="W21" s="234"/>
    </row>
    <row r="22" spans="2:23" ht="12.75" customHeight="1" x14ac:dyDescent="0.35">
      <c r="B22" s="3" t="s">
        <v>28</v>
      </c>
      <c r="C22" s="83"/>
      <c r="D22" s="103">
        <v>105480</v>
      </c>
      <c r="E22" s="103">
        <v>110754</v>
      </c>
      <c r="F22" s="103">
        <v>110754</v>
      </c>
      <c r="G22" s="103">
        <f>'BASE - Pre CV-19'!O50</f>
        <v>116291.7</v>
      </c>
      <c r="I22" s="196">
        <f>D22</f>
        <v>105480</v>
      </c>
      <c r="J22" s="197">
        <f t="shared" ref="J22:L22" si="13">E22</f>
        <v>110754</v>
      </c>
      <c r="K22" s="197">
        <f t="shared" si="13"/>
        <v>110754</v>
      </c>
      <c r="L22" s="198">
        <f t="shared" si="13"/>
        <v>116291.7</v>
      </c>
      <c r="M22" s="138"/>
      <c r="N22" s="196">
        <f>D23</f>
        <v>112410</v>
      </c>
      <c r="O22" s="197">
        <f t="shared" ref="O22:Q22" si="14">E23</f>
        <v>105216.29999999999</v>
      </c>
      <c r="P22" s="197">
        <f t="shared" si="14"/>
        <v>105216.29999999999</v>
      </c>
      <c r="Q22" s="198">
        <f t="shared" si="14"/>
        <v>110477.11499999999</v>
      </c>
      <c r="R22" s="138"/>
      <c r="S22" s="196">
        <f>N22-I22</f>
        <v>6930</v>
      </c>
      <c r="T22" s="197">
        <f t="shared" ref="T22:V22" si="15">O22-J22</f>
        <v>-5537.7000000000116</v>
      </c>
      <c r="U22" s="197">
        <f t="shared" si="15"/>
        <v>-5537.7000000000116</v>
      </c>
      <c r="V22" s="227">
        <f t="shared" si="15"/>
        <v>-5814.5850000000064</v>
      </c>
      <c r="W22" s="234"/>
    </row>
    <row r="23" spans="2:23" ht="12.75" customHeight="1" x14ac:dyDescent="0.35">
      <c r="C23" s="100" t="s">
        <v>224</v>
      </c>
      <c r="D23" s="105">
        <v>112410</v>
      </c>
      <c r="E23" s="105">
        <f>E22*0.95</f>
        <v>105216.29999999999</v>
      </c>
      <c r="F23" s="105">
        <f t="shared" ref="F23:G23" si="16">F22*0.95</f>
        <v>105216.29999999999</v>
      </c>
      <c r="G23" s="105">
        <f t="shared" si="16"/>
        <v>110477.11499999999</v>
      </c>
      <c r="I23" s="216"/>
      <c r="J23" s="217"/>
      <c r="K23" s="217"/>
      <c r="L23" s="218"/>
      <c r="M23" s="138"/>
      <c r="N23" s="216"/>
      <c r="O23" s="217"/>
      <c r="P23" s="217"/>
      <c r="Q23" s="218"/>
      <c r="R23" s="138"/>
      <c r="S23" s="216"/>
      <c r="T23" s="217"/>
      <c r="U23" s="217"/>
      <c r="V23" s="229"/>
      <c r="W23" s="234"/>
    </row>
    <row r="24" spans="2:23" ht="12.75" customHeight="1" thickBot="1" x14ac:dyDescent="0.4">
      <c r="B24" s="6" t="s">
        <v>36</v>
      </c>
      <c r="C24" s="85"/>
      <c r="D24" s="103">
        <f>D22+D19</f>
        <v>561495.76745454548</v>
      </c>
      <c r="E24" s="103">
        <f>E22+E19</f>
        <v>589570.55582727282</v>
      </c>
      <c r="F24" s="103">
        <f>F22+F19</f>
        <v>613511.38361863652</v>
      </c>
      <c r="G24" s="103">
        <f>G22+G19</f>
        <v>617813.61069263984</v>
      </c>
      <c r="I24" s="196">
        <f>D24</f>
        <v>561495.76745454548</v>
      </c>
      <c r="J24" s="197">
        <f t="shared" ref="J24:L24" si="17">E24</f>
        <v>589570.55582727282</v>
      </c>
      <c r="K24" s="197">
        <f t="shared" si="17"/>
        <v>613511.38361863652</v>
      </c>
      <c r="L24" s="198">
        <f t="shared" si="17"/>
        <v>617813.61069263984</v>
      </c>
      <c r="M24" s="138"/>
      <c r="N24" s="196">
        <f>D25</f>
        <v>563751</v>
      </c>
      <c r="O24" s="197">
        <f t="shared" ref="O24:Q24" si="18">E25</f>
        <v>502547.17704545456</v>
      </c>
      <c r="P24" s="197">
        <f t="shared" si="18"/>
        <v>522413.72089772735</v>
      </c>
      <c r="Q24" s="198">
        <f t="shared" si="18"/>
        <v>528754.40036241733</v>
      </c>
      <c r="R24" s="138"/>
      <c r="S24" s="196">
        <f>N24-I24</f>
        <v>2255.2325454545207</v>
      </c>
      <c r="T24" s="197">
        <f t="shared" ref="T24:V24" si="19">O24-J24</f>
        <v>-87023.378781818261</v>
      </c>
      <c r="U24" s="197">
        <f t="shared" si="19"/>
        <v>-91097.662720909168</v>
      </c>
      <c r="V24" s="227">
        <f t="shared" si="19"/>
        <v>-89059.2103302225</v>
      </c>
      <c r="W24" s="234" t="s">
        <v>324</v>
      </c>
    </row>
    <row r="25" spans="2:23" ht="12.75" customHeight="1" thickTop="1" x14ac:dyDescent="0.35">
      <c r="C25" s="100" t="s">
        <v>224</v>
      </c>
      <c r="D25" s="105">
        <f>D23+D20</f>
        <v>563751</v>
      </c>
      <c r="E25" s="105">
        <f>E23+E20</f>
        <v>502547.17704545456</v>
      </c>
      <c r="F25" s="105">
        <f>F23+F20</f>
        <v>522413.72089772735</v>
      </c>
      <c r="G25" s="105">
        <f>G23+G20</f>
        <v>528754.40036241733</v>
      </c>
      <c r="I25" s="216"/>
      <c r="J25" s="217"/>
      <c r="K25" s="217"/>
      <c r="L25" s="218"/>
      <c r="M25" s="138"/>
      <c r="N25" s="216"/>
      <c r="O25" s="217"/>
      <c r="P25" s="217"/>
      <c r="Q25" s="218"/>
      <c r="R25" s="138"/>
      <c r="S25" s="216"/>
      <c r="T25" s="217"/>
      <c r="U25" s="217"/>
      <c r="V25" s="229"/>
      <c r="W25" s="234"/>
    </row>
    <row r="26" spans="2:23" ht="12.75" customHeight="1" x14ac:dyDescent="0.35">
      <c r="B26" s="3" t="s">
        <v>37</v>
      </c>
      <c r="D26" s="106"/>
      <c r="E26" s="107"/>
      <c r="F26" s="108"/>
      <c r="I26" s="222"/>
      <c r="J26" s="223"/>
      <c r="K26" s="223"/>
      <c r="L26" s="224"/>
      <c r="M26" s="138"/>
      <c r="N26" s="222"/>
      <c r="O26" s="223"/>
      <c r="P26" s="223"/>
      <c r="Q26" s="224"/>
      <c r="R26" s="138"/>
      <c r="S26" s="222"/>
      <c r="T26" s="223"/>
      <c r="U26" s="223"/>
      <c r="V26" s="231"/>
      <c r="W26" s="234"/>
    </row>
    <row r="27" spans="2:23" ht="12.75" customHeight="1" x14ac:dyDescent="0.35">
      <c r="B27" s="1" t="s">
        <v>38</v>
      </c>
      <c r="C27" s="80"/>
      <c r="D27" s="101">
        <v>6300</v>
      </c>
      <c r="E27" s="109">
        <v>7000</v>
      </c>
      <c r="F27" s="101">
        <v>7500</v>
      </c>
      <c r="G27" s="32"/>
      <c r="I27" s="219"/>
      <c r="J27" s="220"/>
      <c r="K27" s="220"/>
      <c r="L27" s="221"/>
      <c r="M27" s="138"/>
      <c r="N27" s="219"/>
      <c r="O27" s="220"/>
      <c r="P27" s="220"/>
      <c r="Q27" s="221"/>
      <c r="R27" s="138"/>
      <c r="S27" s="219"/>
      <c r="T27" s="220"/>
      <c r="U27" s="220"/>
      <c r="V27" s="230"/>
      <c r="W27" s="234"/>
    </row>
    <row r="28" spans="2:23" ht="12.75" customHeight="1" x14ac:dyDescent="0.35">
      <c r="B28" s="5" t="s">
        <v>41</v>
      </c>
      <c r="C28" s="83"/>
      <c r="D28" s="103">
        <v>6300</v>
      </c>
      <c r="E28" s="103">
        <v>7000</v>
      </c>
      <c r="F28" s="103">
        <v>7500</v>
      </c>
      <c r="G28" s="103">
        <f>'BASE - Pre CV-19'!O58</f>
        <v>7650</v>
      </c>
      <c r="I28" s="196">
        <f>D28</f>
        <v>6300</v>
      </c>
      <c r="J28" s="197">
        <f t="shared" ref="J28:L28" si="20">E28</f>
        <v>7000</v>
      </c>
      <c r="K28" s="197">
        <f t="shared" si="20"/>
        <v>7500</v>
      </c>
      <c r="L28" s="198">
        <f t="shared" si="20"/>
        <v>7650</v>
      </c>
      <c r="M28" s="138"/>
      <c r="N28" s="196">
        <f>D29</f>
        <v>10856</v>
      </c>
      <c r="O28" s="197">
        <f t="shared" ref="O28:Q28" si="21">E29</f>
        <v>7000</v>
      </c>
      <c r="P28" s="197">
        <f t="shared" si="21"/>
        <v>7500</v>
      </c>
      <c r="Q28" s="198">
        <f t="shared" si="21"/>
        <v>7650</v>
      </c>
      <c r="R28" s="138"/>
      <c r="S28" s="196">
        <f>N28-I28</f>
        <v>4556</v>
      </c>
      <c r="T28" s="197">
        <f t="shared" ref="T28:V28" si="22">O28-J28</f>
        <v>0</v>
      </c>
      <c r="U28" s="197">
        <f t="shared" si="22"/>
        <v>0</v>
      </c>
      <c r="V28" s="227">
        <f t="shared" si="22"/>
        <v>0</v>
      </c>
      <c r="W28" s="234"/>
    </row>
    <row r="29" spans="2:23" ht="12.75" customHeight="1" x14ac:dyDescent="0.35">
      <c r="C29" s="100" t="s">
        <v>224</v>
      </c>
      <c r="D29" s="105">
        <v>10856</v>
      </c>
      <c r="E29" s="105">
        <v>7000</v>
      </c>
      <c r="F29" s="105">
        <v>7500</v>
      </c>
      <c r="G29" s="105">
        <f>G28</f>
        <v>7650</v>
      </c>
      <c r="I29" s="216"/>
      <c r="J29" s="217"/>
      <c r="K29" s="217"/>
      <c r="L29" s="218"/>
      <c r="M29" s="138"/>
      <c r="N29" s="216"/>
      <c r="O29" s="217"/>
      <c r="P29" s="217"/>
      <c r="Q29" s="218"/>
      <c r="R29" s="138"/>
      <c r="S29" s="216"/>
      <c r="T29" s="217"/>
      <c r="U29" s="217"/>
      <c r="V29" s="229"/>
      <c r="W29" s="234"/>
    </row>
    <row r="30" spans="2:23" ht="12.75" customHeight="1" x14ac:dyDescent="0.35">
      <c r="B30" s="3" t="s">
        <v>42</v>
      </c>
      <c r="C30" s="84"/>
      <c r="D30" s="106"/>
      <c r="E30" s="107"/>
      <c r="F30" s="108"/>
      <c r="I30" s="222"/>
      <c r="J30" s="223"/>
      <c r="K30" s="223"/>
      <c r="L30" s="224"/>
      <c r="M30" s="138"/>
      <c r="N30" s="222"/>
      <c r="O30" s="223"/>
      <c r="P30" s="223"/>
      <c r="Q30" s="224"/>
      <c r="R30" s="138"/>
      <c r="S30" s="222"/>
      <c r="T30" s="223"/>
      <c r="U30" s="223"/>
      <c r="V30" s="231"/>
      <c r="W30" s="234"/>
    </row>
    <row r="31" spans="2:23" ht="12.75" customHeight="1" x14ac:dyDescent="0.35">
      <c r="B31" s="1" t="s">
        <v>44</v>
      </c>
      <c r="C31" s="83"/>
      <c r="D31" s="103">
        <v>34000</v>
      </c>
      <c r="E31" s="103">
        <v>35000</v>
      </c>
      <c r="F31" s="103">
        <v>36000</v>
      </c>
      <c r="G31" s="103">
        <f>'BASE - Pre CV-19'!O64</f>
        <v>38000</v>
      </c>
      <c r="I31" s="196">
        <f>D31</f>
        <v>34000</v>
      </c>
      <c r="J31" s="197">
        <f t="shared" ref="J31:L31" si="23">E31</f>
        <v>35000</v>
      </c>
      <c r="K31" s="197">
        <f t="shared" si="23"/>
        <v>36000</v>
      </c>
      <c r="L31" s="198">
        <f t="shared" si="23"/>
        <v>38000</v>
      </c>
      <c r="M31" s="138"/>
      <c r="N31" s="196">
        <f>D32</f>
        <v>0</v>
      </c>
      <c r="O31" s="197">
        <f t="shared" ref="O31:Q31" si="24">E32</f>
        <v>35000</v>
      </c>
      <c r="P31" s="197">
        <f t="shared" si="24"/>
        <v>36000</v>
      </c>
      <c r="Q31" s="198">
        <f t="shared" si="24"/>
        <v>38000</v>
      </c>
      <c r="R31" s="138"/>
      <c r="S31" s="196">
        <f>N31-I31</f>
        <v>-34000</v>
      </c>
      <c r="T31" s="197">
        <f t="shared" ref="T31:V31" si="25">O31-J31</f>
        <v>0</v>
      </c>
      <c r="U31" s="197">
        <f t="shared" si="25"/>
        <v>0</v>
      </c>
      <c r="V31" s="227">
        <f t="shared" si="25"/>
        <v>0</v>
      </c>
      <c r="W31" s="234"/>
    </row>
    <row r="32" spans="2:23" ht="12.75" customHeight="1" x14ac:dyDescent="0.35">
      <c r="B32" s="290"/>
      <c r="C32" s="100" t="s">
        <v>224</v>
      </c>
      <c r="D32" s="113">
        <v>0</v>
      </c>
      <c r="E32" s="113">
        <v>35000</v>
      </c>
      <c r="F32" s="113">
        <v>36000</v>
      </c>
      <c r="G32" s="105">
        <f>G31</f>
        <v>38000</v>
      </c>
      <c r="I32" s="216"/>
      <c r="J32" s="217"/>
      <c r="K32" s="217"/>
      <c r="L32" s="218"/>
      <c r="M32" s="138"/>
      <c r="N32" s="216"/>
      <c r="O32" s="217"/>
      <c r="P32" s="217"/>
      <c r="Q32" s="218"/>
      <c r="R32" s="138"/>
      <c r="S32" s="216"/>
      <c r="T32" s="217"/>
      <c r="U32" s="217"/>
      <c r="V32" s="229"/>
      <c r="W32" s="234"/>
    </row>
    <row r="33" spans="2:23" ht="12.75" customHeight="1" x14ac:dyDescent="0.35">
      <c r="B33" s="1" t="s">
        <v>47</v>
      </c>
      <c r="C33" s="83"/>
      <c r="D33" s="103">
        <v>97416.709999999992</v>
      </c>
      <c r="E33" s="103">
        <v>0</v>
      </c>
      <c r="F33" s="103">
        <v>103000</v>
      </c>
      <c r="G33" s="103">
        <f>'BASE - Pre CV-19'!O69</f>
        <v>0</v>
      </c>
      <c r="I33" s="196">
        <f>D33</f>
        <v>97416.709999999992</v>
      </c>
      <c r="J33" s="197">
        <f t="shared" ref="J33:L33" si="26">E33</f>
        <v>0</v>
      </c>
      <c r="K33" s="197">
        <f t="shared" si="26"/>
        <v>103000</v>
      </c>
      <c r="L33" s="198">
        <f t="shared" si="26"/>
        <v>0</v>
      </c>
      <c r="M33" s="138"/>
      <c r="N33" s="196">
        <f>D34</f>
        <v>68880</v>
      </c>
      <c r="O33" s="197">
        <f t="shared" ref="O33:Q33" si="27">E34</f>
        <v>0</v>
      </c>
      <c r="P33" s="197">
        <f t="shared" si="27"/>
        <v>103000</v>
      </c>
      <c r="Q33" s="198">
        <f t="shared" si="27"/>
        <v>0</v>
      </c>
      <c r="R33" s="138"/>
      <c r="S33" s="196">
        <f>N33-I33</f>
        <v>-28536.709999999992</v>
      </c>
      <c r="T33" s="197">
        <f t="shared" ref="T33:V33" si="28">O33-J33</f>
        <v>0</v>
      </c>
      <c r="U33" s="197">
        <f t="shared" si="28"/>
        <v>0</v>
      </c>
      <c r="V33" s="227">
        <f t="shared" si="28"/>
        <v>0</v>
      </c>
      <c r="W33" s="234"/>
    </row>
    <row r="34" spans="2:23" ht="12.75" customHeight="1" x14ac:dyDescent="0.35">
      <c r="B34" s="290"/>
      <c r="C34" s="100" t="s">
        <v>224</v>
      </c>
      <c r="D34" s="113">
        <v>68880</v>
      </c>
      <c r="E34" s="113"/>
      <c r="F34" s="113">
        <v>103000</v>
      </c>
      <c r="G34" s="105">
        <f>G33</f>
        <v>0</v>
      </c>
      <c r="I34" s="216"/>
      <c r="J34" s="217"/>
      <c r="K34" s="217"/>
      <c r="L34" s="218"/>
      <c r="M34" s="138"/>
      <c r="N34" s="216"/>
      <c r="O34" s="217"/>
      <c r="P34" s="217"/>
      <c r="Q34" s="218"/>
      <c r="R34" s="138"/>
      <c r="S34" s="216"/>
      <c r="T34" s="217"/>
      <c r="U34" s="217"/>
      <c r="V34" s="229"/>
      <c r="W34" s="234"/>
    </row>
    <row r="35" spans="2:23" ht="12.75" customHeight="1" x14ac:dyDescent="0.35">
      <c r="B35" s="1" t="s">
        <v>51</v>
      </c>
      <c r="C35" s="83"/>
      <c r="D35" s="103">
        <v>0</v>
      </c>
      <c r="E35" s="103">
        <v>127810.85</v>
      </c>
      <c r="F35" s="103"/>
      <c r="G35" s="103">
        <f>'BASE - Pre CV-19'!O74</f>
        <v>133576.39250000002</v>
      </c>
      <c r="I35" s="196">
        <f>D35</f>
        <v>0</v>
      </c>
      <c r="J35" s="197">
        <f t="shared" ref="J35:L35" si="29">E35</f>
        <v>127810.85</v>
      </c>
      <c r="K35" s="197">
        <f t="shared" si="29"/>
        <v>0</v>
      </c>
      <c r="L35" s="198">
        <f t="shared" si="29"/>
        <v>133576.39250000002</v>
      </c>
      <c r="M35" s="138"/>
      <c r="N35" s="196">
        <f>D36</f>
        <v>0</v>
      </c>
      <c r="O35" s="197">
        <f t="shared" ref="O35:Q35" si="30">E36</f>
        <v>0</v>
      </c>
      <c r="P35" s="197">
        <f t="shared" si="30"/>
        <v>127811</v>
      </c>
      <c r="Q35" s="198">
        <f t="shared" si="30"/>
        <v>133576.39250000002</v>
      </c>
      <c r="R35" s="138"/>
      <c r="S35" s="196">
        <f>N35-I35</f>
        <v>0</v>
      </c>
      <c r="T35" s="197">
        <f t="shared" ref="T35:V35" si="31">O35-J35</f>
        <v>-127810.85</v>
      </c>
      <c r="U35" s="197">
        <f t="shared" si="31"/>
        <v>127811</v>
      </c>
      <c r="V35" s="227">
        <f t="shared" si="31"/>
        <v>0</v>
      </c>
      <c r="W35" s="234" t="s">
        <v>319</v>
      </c>
    </row>
    <row r="36" spans="2:23" ht="12.75" customHeight="1" x14ac:dyDescent="0.35">
      <c r="B36" s="290"/>
      <c r="C36" s="100" t="s">
        <v>224</v>
      </c>
      <c r="D36" s="113">
        <v>0</v>
      </c>
      <c r="E36" s="113">
        <v>0</v>
      </c>
      <c r="F36" s="113">
        <v>127811</v>
      </c>
      <c r="G36" s="105">
        <f>G35</f>
        <v>133576.39250000002</v>
      </c>
      <c r="I36" s="216"/>
      <c r="J36" s="217"/>
      <c r="K36" s="217"/>
      <c r="L36" s="218"/>
      <c r="M36" s="138"/>
      <c r="N36" s="216"/>
      <c r="O36" s="217"/>
      <c r="P36" s="217"/>
      <c r="Q36" s="218"/>
      <c r="R36" s="138"/>
      <c r="S36" s="216"/>
      <c r="T36" s="217"/>
      <c r="U36" s="217"/>
      <c r="V36" s="229"/>
      <c r="W36" s="234"/>
    </row>
    <row r="37" spans="2:23" ht="12.75" customHeight="1" x14ac:dyDescent="0.35">
      <c r="B37" s="1" t="s">
        <v>55</v>
      </c>
      <c r="C37" s="83"/>
      <c r="D37" s="103">
        <v>0</v>
      </c>
      <c r="E37" s="103">
        <v>201960</v>
      </c>
      <c r="F37" s="103">
        <v>0</v>
      </c>
      <c r="G37" s="103">
        <f>'BASE - Pre CV-19'!O79</f>
        <v>208508.40000000002</v>
      </c>
      <c r="I37" s="196">
        <f>D37</f>
        <v>0</v>
      </c>
      <c r="J37" s="197">
        <f t="shared" ref="J37:L37" si="32">E37</f>
        <v>201960</v>
      </c>
      <c r="K37" s="197">
        <f t="shared" si="32"/>
        <v>0</v>
      </c>
      <c r="L37" s="198">
        <f t="shared" si="32"/>
        <v>208508.40000000002</v>
      </c>
      <c r="M37" s="138"/>
      <c r="N37" s="196">
        <f>D38</f>
        <v>0</v>
      </c>
      <c r="O37" s="197">
        <f t="shared" ref="O37:Q37" si="33">E38</f>
        <v>201960</v>
      </c>
      <c r="P37" s="197">
        <f t="shared" si="33"/>
        <v>0</v>
      </c>
      <c r="Q37" s="198">
        <f t="shared" si="33"/>
        <v>208508.40000000002</v>
      </c>
      <c r="R37" s="138"/>
      <c r="S37" s="196">
        <f>N37-I37</f>
        <v>0</v>
      </c>
      <c r="T37" s="197">
        <f t="shared" ref="T37:V37" si="34">O37-J37</f>
        <v>0</v>
      </c>
      <c r="U37" s="197">
        <f t="shared" si="34"/>
        <v>0</v>
      </c>
      <c r="V37" s="227">
        <f t="shared" si="34"/>
        <v>0</v>
      </c>
      <c r="W37" s="234"/>
    </row>
    <row r="38" spans="2:23" ht="12.75" customHeight="1" x14ac:dyDescent="0.35">
      <c r="B38" s="290"/>
      <c r="C38" s="100" t="s">
        <v>224</v>
      </c>
      <c r="D38" s="113"/>
      <c r="E38" s="113">
        <v>201960</v>
      </c>
      <c r="F38" s="113"/>
      <c r="G38" s="105">
        <f>G37</f>
        <v>208508.40000000002</v>
      </c>
      <c r="I38" s="216"/>
      <c r="J38" s="217"/>
      <c r="K38" s="217"/>
      <c r="L38" s="218"/>
      <c r="M38" s="138"/>
      <c r="N38" s="216"/>
      <c r="O38" s="217"/>
      <c r="P38" s="217"/>
      <c r="Q38" s="218"/>
      <c r="R38" s="138"/>
      <c r="S38" s="216"/>
      <c r="T38" s="217"/>
      <c r="U38" s="217"/>
      <c r="V38" s="229"/>
      <c r="W38" s="234"/>
    </row>
    <row r="39" spans="2:23" ht="12.75" customHeight="1" x14ac:dyDescent="0.35">
      <c r="B39" s="1" t="s">
        <v>59</v>
      </c>
      <c r="C39" s="83"/>
      <c r="D39" s="103">
        <v>135000</v>
      </c>
      <c r="E39" s="103">
        <v>0</v>
      </c>
      <c r="F39" s="103">
        <v>5000</v>
      </c>
      <c r="G39" s="103">
        <f>'BASE - Pre CV-19'!O84</f>
        <v>5000</v>
      </c>
      <c r="I39" s="196">
        <f>D39</f>
        <v>135000</v>
      </c>
      <c r="J39" s="197">
        <f t="shared" ref="J39:L39" si="35">E39</f>
        <v>0</v>
      </c>
      <c r="K39" s="197">
        <f t="shared" si="35"/>
        <v>5000</v>
      </c>
      <c r="L39" s="198">
        <f t="shared" si="35"/>
        <v>5000</v>
      </c>
      <c r="M39" s="138"/>
      <c r="N39" s="196">
        <f>D40</f>
        <v>114827</v>
      </c>
      <c r="O39" s="197">
        <f t="shared" ref="O39:Q39" si="36">E40</f>
        <v>0</v>
      </c>
      <c r="P39" s="197">
        <f t="shared" si="36"/>
        <v>5000</v>
      </c>
      <c r="Q39" s="198">
        <f t="shared" si="36"/>
        <v>5000</v>
      </c>
      <c r="R39" s="138"/>
      <c r="S39" s="196">
        <f>N39-I39</f>
        <v>-20173</v>
      </c>
      <c r="T39" s="197">
        <f t="shared" ref="T39:V39" si="37">O39-J39</f>
        <v>0</v>
      </c>
      <c r="U39" s="197">
        <f t="shared" si="37"/>
        <v>0</v>
      </c>
      <c r="V39" s="227">
        <f t="shared" si="37"/>
        <v>0</v>
      </c>
      <c r="W39" s="234"/>
    </row>
    <row r="40" spans="2:23" ht="12.75" customHeight="1" x14ac:dyDescent="0.35">
      <c r="B40" s="98"/>
      <c r="C40" s="100" t="s">
        <v>224</v>
      </c>
      <c r="D40" s="113">
        <v>114827</v>
      </c>
      <c r="E40" s="113"/>
      <c r="F40" s="113">
        <v>5000</v>
      </c>
      <c r="G40" s="105">
        <f>G39</f>
        <v>5000</v>
      </c>
      <c r="I40" s="196"/>
      <c r="J40" s="197"/>
      <c r="K40" s="197"/>
      <c r="L40" s="198"/>
      <c r="M40" s="138"/>
      <c r="N40" s="196"/>
      <c r="O40" s="197"/>
      <c r="P40" s="197"/>
      <c r="Q40" s="198"/>
      <c r="R40" s="138"/>
      <c r="S40" s="196"/>
      <c r="T40" s="197"/>
      <c r="U40" s="197"/>
      <c r="V40" s="227"/>
      <c r="W40" s="234"/>
    </row>
    <row r="41" spans="2:23" ht="12.75" customHeight="1" x14ac:dyDescent="0.35">
      <c r="C41" s="84"/>
      <c r="D41" s="106"/>
      <c r="E41" s="107"/>
      <c r="F41" s="108"/>
      <c r="I41" s="196"/>
      <c r="J41" s="197"/>
      <c r="K41" s="197"/>
      <c r="L41" s="198"/>
      <c r="M41" s="138"/>
      <c r="N41" s="196"/>
      <c r="O41" s="197"/>
      <c r="P41" s="197"/>
      <c r="Q41" s="198"/>
      <c r="R41" s="138"/>
      <c r="S41" s="196"/>
      <c r="T41" s="197"/>
      <c r="U41" s="197"/>
      <c r="V41" s="227"/>
      <c r="W41" s="234"/>
    </row>
    <row r="42" spans="2:23" ht="12.75" customHeight="1" thickBot="1" x14ac:dyDescent="0.4">
      <c r="B42" s="6" t="s">
        <v>62</v>
      </c>
      <c r="C42" s="85"/>
      <c r="D42" s="116">
        <f>D39+D37+D35+D33+D31</f>
        <v>266416.70999999996</v>
      </c>
      <c r="E42" s="116">
        <f>E39+E37+E35+E33+E31</f>
        <v>364770.85</v>
      </c>
      <c r="F42" s="116">
        <f>F39+F37+F35+F33+F31</f>
        <v>144000</v>
      </c>
      <c r="G42" s="103">
        <f>'BASE - Pre CV-19'!O86</f>
        <v>385084.79250000004</v>
      </c>
      <c r="I42" s="196">
        <f>D42</f>
        <v>266416.70999999996</v>
      </c>
      <c r="J42" s="197">
        <f t="shared" ref="J42:L42" si="38">E42</f>
        <v>364770.85</v>
      </c>
      <c r="K42" s="197">
        <f t="shared" si="38"/>
        <v>144000</v>
      </c>
      <c r="L42" s="198">
        <f t="shared" si="38"/>
        <v>385084.79250000004</v>
      </c>
      <c r="M42" s="138"/>
      <c r="N42" s="196">
        <f>D43</f>
        <v>183707</v>
      </c>
      <c r="O42" s="197">
        <f t="shared" ref="O42:Q42" si="39">E43</f>
        <v>236960</v>
      </c>
      <c r="P42" s="197">
        <f t="shared" si="39"/>
        <v>271811</v>
      </c>
      <c r="Q42" s="198">
        <f t="shared" si="39"/>
        <v>385084.79250000004</v>
      </c>
      <c r="R42" s="138"/>
      <c r="S42" s="196">
        <f>N42-I42</f>
        <v>-82709.709999999963</v>
      </c>
      <c r="T42" s="197">
        <f t="shared" ref="T42:V42" si="40">O42-J42</f>
        <v>-127810.84999999998</v>
      </c>
      <c r="U42" s="197">
        <f t="shared" si="40"/>
        <v>127811</v>
      </c>
      <c r="V42" s="227">
        <f t="shared" si="40"/>
        <v>0</v>
      </c>
      <c r="W42" s="234" t="s">
        <v>300</v>
      </c>
    </row>
    <row r="43" spans="2:23" ht="12.75" customHeight="1" thickTop="1" x14ac:dyDescent="0.35">
      <c r="B43" s="98"/>
      <c r="C43" s="100" t="s">
        <v>224</v>
      </c>
      <c r="D43" s="113">
        <f>D40+D38+D36+D34+D32</f>
        <v>183707</v>
      </c>
      <c r="E43" s="113">
        <f>E40+E38+E36+E34+E32</f>
        <v>236960</v>
      </c>
      <c r="F43" s="113">
        <f>F40+F38+F36+F34+F32</f>
        <v>271811</v>
      </c>
      <c r="G43" s="105">
        <f>G42</f>
        <v>385084.79250000004</v>
      </c>
      <c r="I43" s="216"/>
      <c r="J43" s="217"/>
      <c r="K43" s="217"/>
      <c r="L43" s="218"/>
      <c r="M43" s="138"/>
      <c r="N43" s="216"/>
      <c r="O43" s="217"/>
      <c r="P43" s="217"/>
      <c r="Q43" s="218"/>
      <c r="R43" s="138"/>
      <c r="S43" s="216"/>
      <c r="T43" s="217"/>
      <c r="U43" s="217"/>
      <c r="V43" s="229"/>
      <c r="W43" s="234"/>
    </row>
    <row r="44" spans="2:23" ht="12.75" customHeight="1" x14ac:dyDescent="0.35">
      <c r="C44" s="84"/>
      <c r="D44" s="106"/>
      <c r="E44" s="107"/>
      <c r="F44" s="108"/>
      <c r="I44" s="219"/>
      <c r="J44" s="220"/>
      <c r="K44" s="220"/>
      <c r="L44" s="221"/>
      <c r="M44" s="138"/>
      <c r="N44" s="219"/>
      <c r="O44" s="220"/>
      <c r="P44" s="220"/>
      <c r="Q44" s="221"/>
      <c r="R44" s="138"/>
      <c r="S44" s="219"/>
      <c r="T44" s="220"/>
      <c r="U44" s="220"/>
      <c r="V44" s="230"/>
      <c r="W44" s="234"/>
    </row>
    <row r="45" spans="2:23" ht="12.75" customHeight="1" thickBot="1" x14ac:dyDescent="0.4">
      <c r="B45" s="6" t="s">
        <v>63</v>
      </c>
      <c r="C45" s="85"/>
      <c r="D45" s="103">
        <f>D42+D28+D24+D12</f>
        <v>879912.47745454544</v>
      </c>
      <c r="E45" s="103">
        <f>E42+E28+E24+E12</f>
        <v>998041.4058272728</v>
      </c>
      <c r="F45" s="103">
        <f>F42+F28+F24+F12</f>
        <v>801711.38361863652</v>
      </c>
      <c r="G45" s="103">
        <f>G42+G28+G24+G12</f>
        <v>1034248.4031926398</v>
      </c>
      <c r="H45" s="106">
        <f>G42+G28+G24+G12</f>
        <v>1034248.4031926398</v>
      </c>
      <c r="I45" s="196">
        <f>D45</f>
        <v>879912.47745454544</v>
      </c>
      <c r="J45" s="197">
        <f t="shared" ref="J45:L45" si="41">E45</f>
        <v>998041.4058272728</v>
      </c>
      <c r="K45" s="197">
        <f t="shared" si="41"/>
        <v>801711.38361863652</v>
      </c>
      <c r="L45" s="198">
        <f t="shared" si="41"/>
        <v>1034248.4031926398</v>
      </c>
      <c r="M45" s="138"/>
      <c r="N45" s="196">
        <f>D46</f>
        <v>792298</v>
      </c>
      <c r="O45" s="197">
        <f t="shared" ref="O45:Q45" si="42">E46</f>
        <v>774007.1770454545</v>
      </c>
      <c r="P45" s="197">
        <f t="shared" si="42"/>
        <v>829224.72089772741</v>
      </c>
      <c r="Q45" s="198">
        <f t="shared" si="42"/>
        <v>945189.19286241732</v>
      </c>
      <c r="R45" s="138"/>
      <c r="S45" s="196">
        <f>N45-I45</f>
        <v>-87614.477454545442</v>
      </c>
      <c r="T45" s="197">
        <f t="shared" ref="T45:V45" si="43">O45-J45</f>
        <v>-224034.2287818183</v>
      </c>
      <c r="U45" s="197">
        <f t="shared" si="43"/>
        <v>27513.337279090891</v>
      </c>
      <c r="V45" s="227">
        <f t="shared" si="43"/>
        <v>-89059.2103302225</v>
      </c>
      <c r="W45" s="234"/>
    </row>
    <row r="46" spans="2:23" ht="12.75" customHeight="1" thickTop="1" x14ac:dyDescent="0.35">
      <c r="B46" s="98"/>
      <c r="C46" s="100" t="s">
        <v>224</v>
      </c>
      <c r="D46" s="113">
        <f>D43+D29+D25+D13</f>
        <v>792298</v>
      </c>
      <c r="E46" s="113">
        <f>E43+E29+E25+E13</f>
        <v>774007.1770454545</v>
      </c>
      <c r="F46" s="113">
        <f>F43+F29+F25+F13</f>
        <v>829224.72089772741</v>
      </c>
      <c r="G46" s="105">
        <f>G43+G29+G25+G13</f>
        <v>945189.19286241732</v>
      </c>
      <c r="I46" s="216"/>
      <c r="J46" s="217"/>
      <c r="K46" s="217"/>
      <c r="L46" s="218"/>
      <c r="M46" s="138"/>
      <c r="N46" s="216"/>
      <c r="O46" s="217"/>
      <c r="P46" s="217"/>
      <c r="Q46" s="218"/>
      <c r="R46" s="138"/>
      <c r="S46" s="216"/>
      <c r="T46" s="217"/>
      <c r="U46" s="217"/>
      <c r="V46" s="229"/>
      <c r="W46" s="234"/>
    </row>
    <row r="47" spans="2:23" ht="12.75" customHeight="1" x14ac:dyDescent="0.35">
      <c r="B47" s="98"/>
      <c r="C47" s="99"/>
      <c r="D47" s="115"/>
      <c r="E47" s="115"/>
      <c r="F47" s="116"/>
      <c r="I47" s="222"/>
      <c r="J47" s="223"/>
      <c r="K47" s="223"/>
      <c r="L47" s="224"/>
      <c r="M47" s="138"/>
      <c r="N47" s="222"/>
      <c r="O47" s="223"/>
      <c r="P47" s="223"/>
      <c r="Q47" s="224"/>
      <c r="R47" s="138"/>
      <c r="S47" s="222"/>
      <c r="T47" s="223"/>
      <c r="U47" s="223"/>
      <c r="V47" s="231"/>
      <c r="W47" s="234"/>
    </row>
    <row r="48" spans="2:23" ht="12.75" customHeight="1" x14ac:dyDescent="0.35">
      <c r="B48" s="3" t="s">
        <v>65</v>
      </c>
      <c r="D48" s="106"/>
      <c r="E48" s="107"/>
      <c r="F48" s="108"/>
      <c r="I48" s="222"/>
      <c r="J48" s="223"/>
      <c r="K48" s="223"/>
      <c r="L48" s="224"/>
      <c r="M48" s="138"/>
      <c r="N48" s="222"/>
      <c r="O48" s="223"/>
      <c r="P48" s="223"/>
      <c r="Q48" s="224"/>
      <c r="R48" s="138"/>
      <c r="S48" s="222"/>
      <c r="T48" s="223"/>
      <c r="U48" s="223"/>
      <c r="V48" s="231"/>
      <c r="W48" s="234"/>
    </row>
    <row r="49" spans="2:23" ht="12.75" customHeight="1" x14ac:dyDescent="0.35">
      <c r="B49" s="3"/>
      <c r="D49" s="106"/>
      <c r="E49" s="107"/>
      <c r="F49" s="108"/>
      <c r="I49" s="222"/>
      <c r="J49" s="223"/>
      <c r="K49" s="223"/>
      <c r="L49" s="224"/>
      <c r="M49" s="138"/>
      <c r="N49" s="222"/>
      <c r="O49" s="223"/>
      <c r="P49" s="223"/>
      <c r="Q49" s="224"/>
      <c r="R49" s="138"/>
      <c r="S49" s="222"/>
      <c r="T49" s="223"/>
      <c r="U49" s="223"/>
      <c r="V49" s="231"/>
      <c r="W49" s="234"/>
    </row>
    <row r="50" spans="2:23" ht="12.75" customHeight="1" x14ac:dyDescent="0.35">
      <c r="B50" t="s">
        <v>226</v>
      </c>
      <c r="D50" s="105">
        <v>97066</v>
      </c>
      <c r="E50" s="107"/>
      <c r="F50" s="108"/>
      <c r="I50" s="219"/>
      <c r="J50" s="220"/>
      <c r="K50" s="220"/>
      <c r="L50" s="221"/>
      <c r="M50" s="138"/>
      <c r="N50" s="219"/>
      <c r="O50" s="220"/>
      <c r="P50" s="220"/>
      <c r="Q50" s="221"/>
      <c r="R50" s="138"/>
      <c r="S50" s="219"/>
      <c r="T50" s="220"/>
      <c r="U50" s="220"/>
      <c r="V50" s="230"/>
      <c r="W50" s="234"/>
    </row>
    <row r="51" spans="2:23" ht="12.75" customHeight="1" x14ac:dyDescent="0.35">
      <c r="B51" s="3" t="s">
        <v>225</v>
      </c>
      <c r="D51" s="103">
        <v>66700</v>
      </c>
      <c r="E51" s="103">
        <v>65834</v>
      </c>
      <c r="F51" s="103">
        <v>68990</v>
      </c>
      <c r="G51" s="103">
        <f>'BASE - Pre CV-19'!O95+'BASE - Pre CV-19'!O96+'BASE - Pre CV-19'!O100</f>
        <v>66985.125599999999</v>
      </c>
      <c r="I51" s="196">
        <f>D51</f>
        <v>66700</v>
      </c>
      <c r="J51" s="197">
        <f t="shared" ref="J51:L51" si="44">E51</f>
        <v>65834</v>
      </c>
      <c r="K51" s="197">
        <f t="shared" si="44"/>
        <v>68990</v>
      </c>
      <c r="L51" s="198">
        <f t="shared" si="44"/>
        <v>66985.125599999999</v>
      </c>
      <c r="M51" s="138"/>
      <c r="N51" s="196">
        <f>D52</f>
        <v>54993</v>
      </c>
      <c r="O51" s="197">
        <f t="shared" ref="O51:Q51" si="45">E52</f>
        <v>65834</v>
      </c>
      <c r="P51" s="197">
        <f t="shared" si="45"/>
        <v>68990</v>
      </c>
      <c r="Q51" s="198">
        <f t="shared" si="45"/>
        <v>66985.125599999999</v>
      </c>
      <c r="R51" s="138"/>
      <c r="S51" s="196">
        <f>N51-I51</f>
        <v>-11707</v>
      </c>
      <c r="T51" s="197">
        <f t="shared" ref="T51:V51" si="46">O51-J51</f>
        <v>0</v>
      </c>
      <c r="U51" s="197">
        <f t="shared" si="46"/>
        <v>0</v>
      </c>
      <c r="V51" s="227">
        <f t="shared" si="46"/>
        <v>0</v>
      </c>
      <c r="W51" s="234"/>
    </row>
    <row r="52" spans="2:23" ht="12.75" customHeight="1" x14ac:dyDescent="0.35">
      <c r="B52" s="3"/>
      <c r="C52" s="100" t="s">
        <v>224</v>
      </c>
      <c r="D52" s="105">
        <v>54993</v>
      </c>
      <c r="E52" s="105">
        <v>65834</v>
      </c>
      <c r="F52" s="105">
        <v>68990</v>
      </c>
      <c r="G52" s="105">
        <f>G51</f>
        <v>66985.125599999999</v>
      </c>
      <c r="I52" s="216"/>
      <c r="J52" s="217"/>
      <c r="K52" s="217"/>
      <c r="L52" s="218"/>
      <c r="M52" s="138"/>
      <c r="N52" s="216"/>
      <c r="O52" s="217"/>
      <c r="P52" s="217"/>
      <c r="Q52" s="218"/>
      <c r="R52" s="138"/>
      <c r="S52" s="216"/>
      <c r="T52" s="217"/>
      <c r="U52" s="217"/>
      <c r="V52" s="229"/>
      <c r="W52" s="234"/>
    </row>
    <row r="53" spans="2:23" ht="12.75" customHeight="1" x14ac:dyDescent="0.35">
      <c r="B53" s="3" t="s">
        <v>73</v>
      </c>
      <c r="C53" s="33"/>
      <c r="D53" s="103">
        <v>35391.565799999997</v>
      </c>
      <c r="E53" s="103">
        <v>36821.734484000001</v>
      </c>
      <c r="F53" s="103">
        <v>38329.059794319997</v>
      </c>
      <c r="G53" s="103">
        <f>'BASE - Pre CV-19'!O115</f>
        <v>40606.326298433603</v>
      </c>
      <c r="I53" s="196">
        <f>D53</f>
        <v>35391.565799999997</v>
      </c>
      <c r="J53" s="197">
        <f t="shared" ref="J53:L53" si="47">E53</f>
        <v>36821.734484000001</v>
      </c>
      <c r="K53" s="197">
        <f t="shared" si="47"/>
        <v>38329.059794319997</v>
      </c>
      <c r="L53" s="198">
        <f t="shared" si="47"/>
        <v>40606.326298433603</v>
      </c>
      <c r="M53" s="138"/>
      <c r="N53" s="196">
        <f>D54</f>
        <v>34069</v>
      </c>
      <c r="O53" s="197">
        <f t="shared" ref="O53:Q53" si="48">E54</f>
        <v>40797</v>
      </c>
      <c r="P53" s="197">
        <f t="shared" si="48"/>
        <v>38330</v>
      </c>
      <c r="Q53" s="198">
        <f t="shared" si="48"/>
        <v>40606.326298433603</v>
      </c>
      <c r="R53" s="138"/>
      <c r="S53" s="196">
        <f>N53-I53</f>
        <v>-1322.5657999999967</v>
      </c>
      <c r="T53" s="197">
        <f t="shared" ref="T53:V53" si="49">O53-J53</f>
        <v>3975.2655159999995</v>
      </c>
      <c r="U53" s="197">
        <f t="shared" si="49"/>
        <v>0.94020568000269122</v>
      </c>
      <c r="V53" s="227">
        <f t="shared" si="49"/>
        <v>0</v>
      </c>
      <c r="W53" s="234"/>
    </row>
    <row r="54" spans="2:23" ht="12.75" customHeight="1" x14ac:dyDescent="0.35">
      <c r="B54" s="98"/>
      <c r="C54" s="100" t="s">
        <v>224</v>
      </c>
      <c r="D54" s="113">
        <v>34069</v>
      </c>
      <c r="E54" s="113">
        <v>40797</v>
      </c>
      <c r="F54" s="113">
        <v>38330</v>
      </c>
      <c r="G54" s="105">
        <f>G53</f>
        <v>40606.326298433603</v>
      </c>
      <c r="I54" s="216"/>
      <c r="J54" s="217"/>
      <c r="K54" s="217"/>
      <c r="L54" s="218"/>
      <c r="M54" s="138"/>
      <c r="N54" s="216"/>
      <c r="O54" s="217"/>
      <c r="P54" s="217"/>
      <c r="Q54" s="218"/>
      <c r="R54" s="138"/>
      <c r="S54" s="216"/>
      <c r="T54" s="217"/>
      <c r="U54" s="217"/>
      <c r="V54" s="229"/>
      <c r="W54" s="234"/>
    </row>
    <row r="55" spans="2:23" ht="12.75" customHeight="1" x14ac:dyDescent="0.35">
      <c r="B55" s="3" t="s">
        <v>85</v>
      </c>
      <c r="C55" s="33"/>
      <c r="D55" s="103">
        <v>293552</v>
      </c>
      <c r="E55" s="103">
        <v>302669.54000000004</v>
      </c>
      <c r="F55" s="103">
        <v>311786.00579999998</v>
      </c>
      <c r="G55" s="103">
        <f>'BASE - Pre CV-19'!O129</f>
        <v>321185.30402600003</v>
      </c>
      <c r="I55" s="196">
        <f>D55</f>
        <v>293552</v>
      </c>
      <c r="J55" s="197">
        <f t="shared" ref="J55:L55" si="50">E55</f>
        <v>302669.54000000004</v>
      </c>
      <c r="K55" s="197">
        <f t="shared" si="50"/>
        <v>311786.00579999998</v>
      </c>
      <c r="L55" s="198">
        <f t="shared" si="50"/>
        <v>321185.30402600003</v>
      </c>
      <c r="M55" s="138"/>
      <c r="N55" s="196">
        <f>D56</f>
        <v>257938</v>
      </c>
      <c r="O55" s="197">
        <f t="shared" ref="O55:Q55" si="51">E56</f>
        <v>302670</v>
      </c>
      <c r="P55" s="197">
        <f t="shared" si="51"/>
        <v>311786</v>
      </c>
      <c r="Q55" s="198">
        <f t="shared" si="51"/>
        <v>321185.30402600003</v>
      </c>
      <c r="R55" s="138"/>
      <c r="S55" s="196">
        <f>N55-I55</f>
        <v>-35614</v>
      </c>
      <c r="T55" s="197">
        <f t="shared" ref="T55:V55" si="52">O55-J55</f>
        <v>0.4599999999627471</v>
      </c>
      <c r="U55" s="197">
        <f t="shared" si="52"/>
        <v>-5.799999984446913E-3</v>
      </c>
      <c r="V55" s="227">
        <f t="shared" si="52"/>
        <v>0</v>
      </c>
      <c r="W55" s="234"/>
    </row>
    <row r="56" spans="2:23" ht="12.75" customHeight="1" x14ac:dyDescent="0.35">
      <c r="B56" s="98"/>
      <c r="C56" s="100" t="s">
        <v>224</v>
      </c>
      <c r="D56" s="113">
        <v>257938</v>
      </c>
      <c r="E56" s="113">
        <v>302670</v>
      </c>
      <c r="F56" s="113">
        <v>311786</v>
      </c>
      <c r="G56" s="105">
        <f>G55</f>
        <v>321185.30402600003</v>
      </c>
      <c r="I56" s="216"/>
      <c r="J56" s="217"/>
      <c r="K56" s="217"/>
      <c r="L56" s="218"/>
      <c r="M56" s="138"/>
      <c r="N56" s="216"/>
      <c r="O56" s="217"/>
      <c r="P56" s="217"/>
      <c r="Q56" s="218"/>
      <c r="R56" s="138"/>
      <c r="S56" s="216"/>
      <c r="T56" s="217"/>
      <c r="U56" s="217"/>
      <c r="V56" s="229"/>
      <c r="W56" s="234"/>
    </row>
    <row r="57" spans="2:23" ht="12.75" customHeight="1" x14ac:dyDescent="0.35">
      <c r="B57" s="3" t="s">
        <v>98</v>
      </c>
      <c r="C57" s="33"/>
      <c r="D57" s="103">
        <v>94932</v>
      </c>
      <c r="E57" s="103">
        <v>99678.6</v>
      </c>
      <c r="F57" s="103">
        <v>99678.6</v>
      </c>
      <c r="G57" s="103">
        <f>'BASE - Pre CV-19'!O136</f>
        <v>104662.53</v>
      </c>
      <c r="I57" s="196">
        <f>D57</f>
        <v>94932</v>
      </c>
      <c r="J57" s="197">
        <f t="shared" ref="J57:L57" si="53">E57</f>
        <v>99678.6</v>
      </c>
      <c r="K57" s="197">
        <f t="shared" si="53"/>
        <v>99678.6</v>
      </c>
      <c r="L57" s="198">
        <f t="shared" si="53"/>
        <v>104662.53</v>
      </c>
      <c r="M57" s="138"/>
      <c r="N57" s="196">
        <f>D58</f>
        <v>100854</v>
      </c>
      <c r="O57" s="197">
        <f t="shared" ref="O57:Q57" si="54">E58</f>
        <v>94694.67</v>
      </c>
      <c r="P57" s="197">
        <f t="shared" si="54"/>
        <v>94694.67</v>
      </c>
      <c r="Q57" s="198">
        <f t="shared" si="54"/>
        <v>99429.4035</v>
      </c>
      <c r="R57" s="138"/>
      <c r="S57" s="196">
        <f>N57-I57</f>
        <v>5922</v>
      </c>
      <c r="T57" s="197">
        <f t="shared" ref="T57:V57" si="55">O57-J57</f>
        <v>-4983.9300000000076</v>
      </c>
      <c r="U57" s="197">
        <f t="shared" si="55"/>
        <v>-4983.9300000000076</v>
      </c>
      <c r="V57" s="227">
        <f t="shared" si="55"/>
        <v>-5233.1264999999985</v>
      </c>
      <c r="W57" s="234" t="s">
        <v>325</v>
      </c>
    </row>
    <row r="58" spans="2:23" ht="12.75" customHeight="1" x14ac:dyDescent="0.35">
      <c r="C58" s="100" t="s">
        <v>224</v>
      </c>
      <c r="D58" s="118">
        <v>100854</v>
      </c>
      <c r="E58" s="118">
        <f>E57*0.95</f>
        <v>94694.67</v>
      </c>
      <c r="F58" s="118">
        <f t="shared" ref="F58:G58" si="56">F57*0.95</f>
        <v>94694.67</v>
      </c>
      <c r="G58" s="118">
        <f t="shared" si="56"/>
        <v>99429.4035</v>
      </c>
      <c r="I58" s="196"/>
      <c r="J58" s="197"/>
      <c r="K58" s="197"/>
      <c r="L58" s="198"/>
      <c r="M58" s="138"/>
      <c r="N58" s="196"/>
      <c r="O58" s="197"/>
      <c r="P58" s="197"/>
      <c r="Q58" s="198"/>
      <c r="R58" s="138"/>
      <c r="S58" s="196"/>
      <c r="T58" s="197"/>
      <c r="U58" s="197"/>
      <c r="V58" s="227"/>
      <c r="W58" s="234"/>
    </row>
    <row r="59" spans="2:23" ht="12.75" customHeight="1" x14ac:dyDescent="0.35">
      <c r="B59" s="3" t="s">
        <v>102</v>
      </c>
      <c r="C59" s="83"/>
      <c r="D59" s="103">
        <v>154690</v>
      </c>
      <c r="E59" s="103">
        <v>223723.99</v>
      </c>
      <c r="F59" s="103">
        <v>161081.476</v>
      </c>
      <c r="G59" s="103">
        <f>'BASE - Pre CV-19'!O145</f>
        <v>229500</v>
      </c>
      <c r="I59" s="196">
        <f>D59</f>
        <v>154690</v>
      </c>
      <c r="J59" s="197">
        <f t="shared" ref="J59:L59" si="57">E59</f>
        <v>223723.99</v>
      </c>
      <c r="K59" s="197">
        <f t="shared" si="57"/>
        <v>161081.476</v>
      </c>
      <c r="L59" s="198">
        <f t="shared" si="57"/>
        <v>229500</v>
      </c>
      <c r="M59" s="138"/>
      <c r="N59" s="196">
        <f>D60</f>
        <v>97645</v>
      </c>
      <c r="O59" s="197">
        <f t="shared" ref="O59:Q59" si="58">E60</f>
        <v>161081.476</v>
      </c>
      <c r="P59" s="197">
        <f t="shared" si="58"/>
        <v>223723.99</v>
      </c>
      <c r="Q59" s="198">
        <f t="shared" si="58"/>
        <v>229500</v>
      </c>
      <c r="R59" s="138"/>
      <c r="S59" s="196">
        <f>N59-I59</f>
        <v>-57045</v>
      </c>
      <c r="T59" s="197">
        <f t="shared" ref="T59:V59" si="59">O59-J59</f>
        <v>-62642.513999999996</v>
      </c>
      <c r="U59" s="197">
        <f t="shared" si="59"/>
        <v>62642.513999999996</v>
      </c>
      <c r="V59" s="227">
        <f t="shared" si="59"/>
        <v>0</v>
      </c>
      <c r="W59" s="234" t="s">
        <v>301</v>
      </c>
    </row>
    <row r="60" spans="2:23" ht="12.75" customHeight="1" x14ac:dyDescent="0.35">
      <c r="B60" s="98"/>
      <c r="C60" s="100" t="s">
        <v>224</v>
      </c>
      <c r="D60" s="113">
        <v>97645</v>
      </c>
      <c r="E60" s="113">
        <f>F59</f>
        <v>161081.476</v>
      </c>
      <c r="F60" s="113">
        <f>E59</f>
        <v>223723.99</v>
      </c>
      <c r="G60" s="105">
        <f>G59</f>
        <v>229500</v>
      </c>
      <c r="I60" s="216"/>
      <c r="J60" s="217"/>
      <c r="K60" s="217"/>
      <c r="L60" s="218"/>
      <c r="M60" s="138"/>
      <c r="N60" s="216"/>
      <c r="O60" s="217"/>
      <c r="P60" s="217"/>
      <c r="Q60" s="218"/>
      <c r="R60" s="138"/>
      <c r="S60" s="216"/>
      <c r="T60" s="217"/>
      <c r="U60" s="217"/>
      <c r="V60" s="229"/>
      <c r="W60" s="234"/>
    </row>
    <row r="61" spans="2:23" ht="12.75" customHeight="1" x14ac:dyDescent="0.35">
      <c r="B61" s="3" t="s">
        <v>110</v>
      </c>
      <c r="C61" s="84"/>
      <c r="D61" s="106">
        <v>121500</v>
      </c>
      <c r="E61" s="107">
        <v>4500</v>
      </c>
      <c r="F61" s="108"/>
      <c r="I61" s="222"/>
      <c r="J61" s="223"/>
      <c r="K61" s="223"/>
      <c r="L61" s="224"/>
      <c r="M61" s="138"/>
      <c r="N61" s="222"/>
      <c r="O61" s="223"/>
      <c r="P61" s="223"/>
      <c r="Q61" s="224"/>
      <c r="R61" s="138"/>
      <c r="S61" s="222"/>
      <c r="T61" s="223"/>
      <c r="U61" s="223"/>
      <c r="V61" s="231"/>
      <c r="W61" s="234"/>
    </row>
    <row r="62" spans="2:23" ht="12.75" customHeight="1" x14ac:dyDescent="0.35">
      <c r="C62" s="84"/>
      <c r="D62" s="106"/>
      <c r="E62" s="107"/>
      <c r="F62" s="108"/>
      <c r="I62" s="222"/>
      <c r="J62" s="223"/>
      <c r="K62" s="223"/>
      <c r="L62" s="224"/>
      <c r="M62" s="138"/>
      <c r="N62" s="222"/>
      <c r="O62" s="223"/>
      <c r="P62" s="223"/>
      <c r="Q62" s="224"/>
      <c r="R62" s="138"/>
      <c r="S62" s="222"/>
      <c r="T62" s="223"/>
      <c r="U62" s="223"/>
      <c r="V62" s="231"/>
      <c r="W62" s="234"/>
    </row>
    <row r="63" spans="2:23" ht="12.75" customHeight="1" x14ac:dyDescent="0.35">
      <c r="B63" s="3" t="s">
        <v>113</v>
      </c>
      <c r="C63" s="83"/>
      <c r="D63" s="103">
        <v>83000</v>
      </c>
      <c r="E63" s="103">
        <v>0</v>
      </c>
      <c r="F63" s="103">
        <v>87150</v>
      </c>
      <c r="G63" s="103">
        <f>'BASE - Pre CV-19'!O155</f>
        <v>0</v>
      </c>
      <c r="I63" s="196">
        <f>D63</f>
        <v>83000</v>
      </c>
      <c r="J63" s="197">
        <f t="shared" ref="J63:L63" si="60">E63</f>
        <v>0</v>
      </c>
      <c r="K63" s="197">
        <f t="shared" si="60"/>
        <v>87150</v>
      </c>
      <c r="L63" s="198">
        <f t="shared" si="60"/>
        <v>0</v>
      </c>
      <c r="M63" s="138"/>
      <c r="N63" s="196">
        <f>D64</f>
        <v>80453</v>
      </c>
      <c r="O63" s="197">
        <f t="shared" ref="O63:Q63" si="61">E64</f>
        <v>0</v>
      </c>
      <c r="P63" s="197">
        <f t="shared" si="61"/>
        <v>87150</v>
      </c>
      <c r="Q63" s="198">
        <f t="shared" si="61"/>
        <v>0</v>
      </c>
      <c r="R63" s="138"/>
      <c r="S63" s="196">
        <f>N63-I63</f>
        <v>-2547</v>
      </c>
      <c r="T63" s="197">
        <f t="shared" ref="T63:V63" si="62">O63-J63</f>
        <v>0</v>
      </c>
      <c r="U63" s="197">
        <f t="shared" si="62"/>
        <v>0</v>
      </c>
      <c r="V63" s="227">
        <f t="shared" si="62"/>
        <v>0</v>
      </c>
      <c r="W63" s="234"/>
    </row>
    <row r="64" spans="2:23" ht="12.75" customHeight="1" x14ac:dyDescent="0.35">
      <c r="C64" s="100" t="s">
        <v>224</v>
      </c>
      <c r="D64" s="105">
        <v>80453</v>
      </c>
      <c r="E64" s="105"/>
      <c r="F64" s="105">
        <v>87150</v>
      </c>
      <c r="G64" s="105">
        <f>G63</f>
        <v>0</v>
      </c>
      <c r="I64" s="216"/>
      <c r="J64" s="217"/>
      <c r="K64" s="217"/>
      <c r="L64" s="218"/>
      <c r="M64" s="138"/>
      <c r="N64" s="216"/>
      <c r="O64" s="217"/>
      <c r="P64" s="217"/>
      <c r="Q64" s="218"/>
      <c r="R64" s="138"/>
      <c r="S64" s="216"/>
      <c r="T64" s="217"/>
      <c r="U64" s="217"/>
      <c r="V64" s="229"/>
      <c r="W64" s="234"/>
    </row>
    <row r="65" spans="2:23" ht="12.75" customHeight="1" x14ac:dyDescent="0.35">
      <c r="B65" s="3" t="s">
        <v>115</v>
      </c>
      <c r="C65" s="83"/>
      <c r="D65" s="103">
        <v>0</v>
      </c>
      <c r="E65" s="103">
        <v>86111.3</v>
      </c>
      <c r="F65" s="103">
        <v>0</v>
      </c>
      <c r="G65" s="103">
        <f>'BASE - Pre CV-19'!O161</f>
        <v>86442.010000000009</v>
      </c>
      <c r="I65" s="196">
        <f>D65</f>
        <v>0</v>
      </c>
      <c r="J65" s="197">
        <f t="shared" ref="J65:L65" si="63">E65</f>
        <v>86111.3</v>
      </c>
      <c r="K65" s="197">
        <f t="shared" si="63"/>
        <v>0</v>
      </c>
      <c r="L65" s="198">
        <f t="shared" si="63"/>
        <v>86442.010000000009</v>
      </c>
      <c r="M65" s="138"/>
      <c r="N65" s="196">
        <f>D66</f>
        <v>0</v>
      </c>
      <c r="O65" s="197">
        <f t="shared" ref="O65:Q65" si="64">E66</f>
        <v>0</v>
      </c>
      <c r="P65" s="197">
        <f t="shared" si="64"/>
        <v>86111.3</v>
      </c>
      <c r="Q65" s="198">
        <f t="shared" si="64"/>
        <v>86442.010000000009</v>
      </c>
      <c r="R65" s="138"/>
      <c r="S65" s="196">
        <f>N65-I65</f>
        <v>0</v>
      </c>
      <c r="T65" s="197">
        <f t="shared" ref="T65:V65" si="65">O65-J65</f>
        <v>-86111.3</v>
      </c>
      <c r="U65" s="197">
        <f t="shared" si="65"/>
        <v>86111.3</v>
      </c>
      <c r="V65" s="227">
        <f t="shared" si="65"/>
        <v>0</v>
      </c>
      <c r="W65" s="234"/>
    </row>
    <row r="66" spans="2:23" ht="12.75" customHeight="1" x14ac:dyDescent="0.35">
      <c r="C66" s="100" t="s">
        <v>224</v>
      </c>
      <c r="D66" s="105"/>
      <c r="E66" s="105">
        <f>F65</f>
        <v>0</v>
      </c>
      <c r="F66" s="105">
        <f>E65</f>
        <v>86111.3</v>
      </c>
      <c r="G66" s="105">
        <f>G65</f>
        <v>86442.010000000009</v>
      </c>
      <c r="I66" s="216"/>
      <c r="J66" s="217"/>
      <c r="K66" s="217"/>
      <c r="L66" s="218"/>
      <c r="M66" s="138"/>
      <c r="N66" s="216"/>
      <c r="O66" s="217"/>
      <c r="P66" s="217"/>
      <c r="Q66" s="218"/>
      <c r="R66" s="138"/>
      <c r="S66" s="216"/>
      <c r="T66" s="217"/>
      <c r="U66" s="217"/>
      <c r="V66" s="229"/>
      <c r="W66" s="234"/>
    </row>
    <row r="67" spans="2:23" ht="12.75" customHeight="1" x14ac:dyDescent="0.35">
      <c r="B67" s="3" t="s">
        <v>120</v>
      </c>
      <c r="C67" s="83"/>
      <c r="D67" s="103">
        <v>0</v>
      </c>
      <c r="E67" s="103">
        <v>140700</v>
      </c>
      <c r="F67" s="103">
        <v>0</v>
      </c>
      <c r="G67" s="103">
        <f>'BASE - Pre CV-19'!O165</f>
        <v>147735</v>
      </c>
      <c r="I67" s="196">
        <f>D67</f>
        <v>0</v>
      </c>
      <c r="J67" s="197">
        <f t="shared" ref="J67:L67" si="66">E67</f>
        <v>140700</v>
      </c>
      <c r="K67" s="197">
        <f t="shared" si="66"/>
        <v>0</v>
      </c>
      <c r="L67" s="198">
        <f t="shared" si="66"/>
        <v>147735</v>
      </c>
      <c r="M67" s="138"/>
      <c r="N67" s="196">
        <f>D68</f>
        <v>0</v>
      </c>
      <c r="O67" s="197">
        <f t="shared" ref="O67:Q67" si="67">E68</f>
        <v>140700</v>
      </c>
      <c r="P67" s="197">
        <f t="shared" si="67"/>
        <v>0</v>
      </c>
      <c r="Q67" s="198">
        <f t="shared" si="67"/>
        <v>147735</v>
      </c>
      <c r="R67" s="138"/>
      <c r="S67" s="196">
        <f>N67-I67</f>
        <v>0</v>
      </c>
      <c r="T67" s="197">
        <f t="shared" ref="T67:V67" si="68">O67-J67</f>
        <v>0</v>
      </c>
      <c r="U67" s="197">
        <f t="shared" si="68"/>
        <v>0</v>
      </c>
      <c r="V67" s="227">
        <f t="shared" si="68"/>
        <v>0</v>
      </c>
      <c r="W67" s="234"/>
    </row>
    <row r="68" spans="2:23" ht="12.75" customHeight="1" x14ac:dyDescent="0.35">
      <c r="C68" s="100" t="s">
        <v>224</v>
      </c>
      <c r="D68" s="105"/>
      <c r="E68" s="105">
        <v>140700</v>
      </c>
      <c r="F68" s="105"/>
      <c r="G68" s="105">
        <f>G67</f>
        <v>147735</v>
      </c>
      <c r="I68" s="216"/>
      <c r="J68" s="217"/>
      <c r="K68" s="217"/>
      <c r="L68" s="218"/>
      <c r="M68" s="138"/>
      <c r="N68" s="216"/>
      <c r="O68" s="217"/>
      <c r="P68" s="217"/>
      <c r="Q68" s="218"/>
      <c r="R68" s="138"/>
      <c r="S68" s="216"/>
      <c r="T68" s="217"/>
      <c r="U68" s="217"/>
      <c r="V68" s="229"/>
      <c r="W68" s="234"/>
    </row>
    <row r="69" spans="2:23" ht="12.75" customHeight="1" x14ac:dyDescent="0.35">
      <c r="B69" s="3" t="s">
        <v>122</v>
      </c>
      <c r="C69" s="83"/>
      <c r="D69" s="103">
        <v>10000</v>
      </c>
      <c r="E69" s="103">
        <v>10000</v>
      </c>
      <c r="F69" s="103">
        <v>10000</v>
      </c>
      <c r="G69" s="103">
        <f>'BASE - Pre CV-19'!O169</f>
        <v>16000</v>
      </c>
      <c r="I69" s="196">
        <f>D69</f>
        <v>10000</v>
      </c>
      <c r="J69" s="197">
        <f t="shared" ref="J69:L69" si="69">E69</f>
        <v>10000</v>
      </c>
      <c r="K69" s="197">
        <f t="shared" si="69"/>
        <v>10000</v>
      </c>
      <c r="L69" s="198">
        <f t="shared" si="69"/>
        <v>16000</v>
      </c>
      <c r="M69" s="138"/>
      <c r="N69" s="196">
        <f>D70</f>
        <v>769</v>
      </c>
      <c r="O69" s="197">
        <f t="shared" ref="O69:Q69" si="70">E70</f>
        <v>10000</v>
      </c>
      <c r="P69" s="197">
        <f t="shared" si="70"/>
        <v>10000</v>
      </c>
      <c r="Q69" s="198">
        <f t="shared" si="70"/>
        <v>16000</v>
      </c>
      <c r="R69" s="138"/>
      <c r="S69" s="196">
        <f>N69-I69</f>
        <v>-9231</v>
      </c>
      <c r="T69" s="197">
        <f t="shared" ref="T69:V69" si="71">O69-J69</f>
        <v>0</v>
      </c>
      <c r="U69" s="197">
        <f t="shared" si="71"/>
        <v>0</v>
      </c>
      <c r="V69" s="227">
        <f t="shared" si="71"/>
        <v>0</v>
      </c>
      <c r="W69" s="234"/>
    </row>
    <row r="70" spans="2:23" ht="12.75" customHeight="1" x14ac:dyDescent="0.35">
      <c r="B70" s="98"/>
      <c r="C70" s="100" t="s">
        <v>224</v>
      </c>
      <c r="D70" s="113">
        <v>769</v>
      </c>
      <c r="E70" s="113">
        <v>10000</v>
      </c>
      <c r="F70" s="113">
        <v>10000</v>
      </c>
      <c r="G70" s="105">
        <f>G69</f>
        <v>16000</v>
      </c>
      <c r="I70" s="216"/>
      <c r="J70" s="217"/>
      <c r="K70" s="217"/>
      <c r="L70" s="218"/>
      <c r="M70" s="138"/>
      <c r="N70" s="216"/>
      <c r="O70" s="217"/>
      <c r="P70" s="217"/>
      <c r="Q70" s="218"/>
      <c r="R70" s="138"/>
      <c r="S70" s="216"/>
      <c r="T70" s="217"/>
      <c r="U70" s="217"/>
      <c r="V70" s="229"/>
      <c r="W70" s="234"/>
    </row>
    <row r="71" spans="2:23" ht="12.75" customHeight="1" thickBot="1" x14ac:dyDescent="0.4">
      <c r="B71" s="6" t="s">
        <v>125</v>
      </c>
      <c r="C71" s="85"/>
      <c r="D71" s="103">
        <f>D69+D67+D65+D63+D61</f>
        <v>214500</v>
      </c>
      <c r="E71" s="103">
        <f>E69+E67+E65+E63+E61</f>
        <v>241311.3</v>
      </c>
      <c r="F71" s="103">
        <f>F69+F67+F65+F63</f>
        <v>97150</v>
      </c>
      <c r="G71" s="103">
        <f>'BASE - Pre CV-19'!O171</f>
        <v>253677.01</v>
      </c>
      <c r="I71" s="196">
        <f>D71</f>
        <v>214500</v>
      </c>
      <c r="J71" s="197">
        <f t="shared" ref="J71:L71" si="72">E71</f>
        <v>241311.3</v>
      </c>
      <c r="K71" s="197">
        <f t="shared" si="72"/>
        <v>97150</v>
      </c>
      <c r="L71" s="198">
        <f t="shared" si="72"/>
        <v>253677.01</v>
      </c>
      <c r="M71" s="138"/>
      <c r="N71" s="196">
        <f>D72</f>
        <v>81278.22</v>
      </c>
      <c r="O71" s="197">
        <f t="shared" ref="O71:Q71" si="73">E72</f>
        <v>155200</v>
      </c>
      <c r="P71" s="197">
        <f t="shared" si="73"/>
        <v>183261.3</v>
      </c>
      <c r="Q71" s="198">
        <f t="shared" si="73"/>
        <v>253677.01</v>
      </c>
      <c r="R71" s="138"/>
      <c r="S71" s="196">
        <f>N71-I71</f>
        <v>-133221.78</v>
      </c>
      <c r="T71" s="197">
        <f t="shared" ref="T71:V71" si="74">O71-J71</f>
        <v>-86111.299999999988</v>
      </c>
      <c r="U71" s="197">
        <f t="shared" si="74"/>
        <v>86111.299999999988</v>
      </c>
      <c r="V71" s="227">
        <f t="shared" si="74"/>
        <v>0</v>
      </c>
      <c r="W71" s="234" t="s">
        <v>302</v>
      </c>
    </row>
    <row r="72" spans="2:23" ht="12.75" customHeight="1" thickTop="1" x14ac:dyDescent="0.35">
      <c r="B72" s="98"/>
      <c r="C72" s="100" t="s">
        <v>224</v>
      </c>
      <c r="D72" s="105">
        <f>D70+D68+D66+D64+56.22</f>
        <v>81278.22</v>
      </c>
      <c r="E72" s="105">
        <f>E70+E68+E66+E64+4500</f>
        <v>155200</v>
      </c>
      <c r="F72" s="105">
        <f>F70+F68+F66+F64</f>
        <v>183261.3</v>
      </c>
      <c r="G72" s="105">
        <f>G71</f>
        <v>253677.01</v>
      </c>
      <c r="I72" s="216"/>
      <c r="J72" s="217"/>
      <c r="K72" s="217"/>
      <c r="L72" s="218"/>
      <c r="M72" s="138"/>
      <c r="N72" s="216"/>
      <c r="O72" s="217"/>
      <c r="P72" s="217"/>
      <c r="Q72" s="218"/>
      <c r="R72" s="138"/>
      <c r="S72" s="216"/>
      <c r="T72" s="217"/>
      <c r="U72" s="217"/>
      <c r="V72" s="229"/>
      <c r="W72" s="234"/>
    </row>
    <row r="73" spans="2:23" ht="12.75" customHeight="1" thickBot="1" x14ac:dyDescent="0.4">
      <c r="B73" s="6" t="s">
        <v>126</v>
      </c>
      <c r="C73" s="85"/>
      <c r="D73" s="103">
        <f>D71+D59+D57+D55+D53+D51</f>
        <v>859765.56579999998</v>
      </c>
      <c r="E73" s="103">
        <f>E71+E59+E57+E55+E53+E51</f>
        <v>970039.16448400007</v>
      </c>
      <c r="F73" s="103">
        <f>F71+F59+F57+F55+F53+F51</f>
        <v>777015.14159432007</v>
      </c>
      <c r="G73" s="103">
        <f>'BASE - Pre CV-19'!O173</f>
        <v>1016616.2959244336</v>
      </c>
      <c r="H73">
        <f>G71+G59+G57+G55+G53+G51</f>
        <v>1016616.2959244336</v>
      </c>
      <c r="I73" s="196">
        <f>D73</f>
        <v>859765.56579999998</v>
      </c>
      <c r="J73" s="197">
        <f t="shared" ref="J73:L73" si="75">E73</f>
        <v>970039.16448400007</v>
      </c>
      <c r="K73" s="197">
        <f t="shared" si="75"/>
        <v>777015.14159432007</v>
      </c>
      <c r="L73" s="198">
        <f t="shared" si="75"/>
        <v>1016616.2959244336</v>
      </c>
      <c r="M73" s="138"/>
      <c r="N73" s="196">
        <f>D74</f>
        <v>723843.22</v>
      </c>
      <c r="O73" s="197">
        <f t="shared" ref="O73:Q73" si="76">E74</f>
        <v>820277.14600000007</v>
      </c>
      <c r="P73" s="197">
        <f t="shared" si="76"/>
        <v>920785.96000000008</v>
      </c>
      <c r="Q73" s="198">
        <f t="shared" si="76"/>
        <v>1016616.2959244336</v>
      </c>
      <c r="R73" s="138"/>
      <c r="S73" s="196">
        <f>N73-I73</f>
        <v>-135922.34580000001</v>
      </c>
      <c r="T73" s="197">
        <f t="shared" ref="T73:V73" si="77">O73-J73</f>
        <v>-149762.018484</v>
      </c>
      <c r="U73" s="197">
        <f t="shared" si="77"/>
        <v>143770.81840568001</v>
      </c>
      <c r="V73" s="227">
        <f t="shared" si="77"/>
        <v>0</v>
      </c>
      <c r="W73" s="234"/>
    </row>
    <row r="74" spans="2:23" ht="12.75" customHeight="1" thickTop="1" x14ac:dyDescent="0.35">
      <c r="B74" s="98"/>
      <c r="C74" s="100" t="s">
        <v>224</v>
      </c>
      <c r="D74" s="113">
        <f>D72+D60+D56+D54+D52+D50+D58</f>
        <v>723843.22</v>
      </c>
      <c r="E74" s="113">
        <f>E72+E60+E56+E54+E52+E50+E58</f>
        <v>820277.14600000007</v>
      </c>
      <c r="F74" s="113">
        <f>F72+F60+F56+F54+F52+F50+F58</f>
        <v>920785.96000000008</v>
      </c>
      <c r="G74" s="105">
        <f>G73</f>
        <v>1016616.2959244336</v>
      </c>
      <c r="I74" s="216"/>
      <c r="J74" s="217"/>
      <c r="K74" s="217"/>
      <c r="L74" s="218"/>
      <c r="M74" s="138"/>
      <c r="N74" s="216"/>
      <c r="O74" s="217"/>
      <c r="P74" s="217"/>
      <c r="Q74" s="218"/>
      <c r="R74" s="138"/>
      <c r="S74" s="216"/>
      <c r="T74" s="217"/>
      <c r="U74" s="217"/>
      <c r="V74" s="229"/>
      <c r="W74" s="234"/>
    </row>
    <row r="75" spans="2:23" ht="12.75" customHeight="1" thickBot="1" x14ac:dyDescent="0.4">
      <c r="B75" s="6" t="s">
        <v>168</v>
      </c>
      <c r="C75" s="85" t="s">
        <v>227</v>
      </c>
      <c r="D75" s="103">
        <f>D45-D73</f>
        <v>20146.91165454546</v>
      </c>
      <c r="E75" s="103">
        <f>E45-E73</f>
        <v>28002.241343272734</v>
      </c>
      <c r="F75" s="103">
        <f>F45-F73</f>
        <v>24696.242024316452</v>
      </c>
      <c r="G75" s="103">
        <f>G45-G73</f>
        <v>17632.107268206193</v>
      </c>
      <c r="I75" s="199">
        <f>D75</f>
        <v>20146.91165454546</v>
      </c>
      <c r="J75" s="200">
        <f t="shared" ref="J75:L75" si="78">E75</f>
        <v>28002.241343272734</v>
      </c>
      <c r="K75" s="200">
        <f t="shared" si="78"/>
        <v>24696.242024316452</v>
      </c>
      <c r="L75" s="201">
        <f t="shared" si="78"/>
        <v>17632.107268206193</v>
      </c>
      <c r="M75" s="138"/>
      <c r="N75" s="199">
        <f>D76</f>
        <v>68454.780000000028</v>
      </c>
      <c r="O75" s="200">
        <f t="shared" ref="O75:Q75" si="79">E76</f>
        <v>-46269.968954545562</v>
      </c>
      <c r="P75" s="200">
        <f t="shared" si="79"/>
        <v>-91561.239102272666</v>
      </c>
      <c r="Q75" s="201">
        <f t="shared" si="79"/>
        <v>-71427.103062016307</v>
      </c>
      <c r="R75" s="138"/>
      <c r="S75" s="199">
        <f>N75-I75</f>
        <v>48307.868345454568</v>
      </c>
      <c r="T75" s="200">
        <f t="shared" ref="T75:V75" si="80">O75-J75</f>
        <v>-74272.210297818296</v>
      </c>
      <c r="U75" s="200">
        <f t="shared" si="80"/>
        <v>-116257.48112658912</v>
      </c>
      <c r="V75" s="232">
        <f t="shared" si="80"/>
        <v>-89059.2103302225</v>
      </c>
      <c r="W75" s="235"/>
    </row>
    <row r="76" spans="2:23" ht="12.75" customHeight="1" thickTop="1" x14ac:dyDescent="0.35">
      <c r="B76" s="98"/>
      <c r="C76" s="100" t="s">
        <v>224</v>
      </c>
      <c r="D76" s="113">
        <f>D46-D74</f>
        <v>68454.780000000028</v>
      </c>
      <c r="E76" s="135">
        <f>E46-E74</f>
        <v>-46269.968954545562</v>
      </c>
      <c r="F76" s="135">
        <f>F46-F74</f>
        <v>-91561.239102272666</v>
      </c>
      <c r="G76" s="135">
        <f>G46-G74</f>
        <v>-71427.103062016307</v>
      </c>
      <c r="H76" s="106"/>
      <c r="I76" s="138"/>
      <c r="J76" s="138"/>
      <c r="K76" s="138"/>
      <c r="L76" s="138"/>
      <c r="M76" s="138"/>
      <c r="N76" s="138"/>
      <c r="O76" s="138"/>
      <c r="P76" s="138"/>
      <c r="Q76" s="138"/>
      <c r="R76" s="138"/>
      <c r="S76" s="138"/>
      <c r="T76" s="138"/>
      <c r="U76" s="138"/>
      <c r="V76" s="138"/>
    </row>
    <row r="77" spans="2:23" ht="12.75" customHeight="1" x14ac:dyDescent="0.35">
      <c r="I77" s="138"/>
      <c r="J77" s="138"/>
      <c r="K77" s="138"/>
      <c r="L77" s="138"/>
      <c r="M77" s="138"/>
      <c r="N77" s="138"/>
      <c r="O77" s="138"/>
      <c r="P77" s="138"/>
      <c r="Q77" s="138"/>
      <c r="R77" s="138"/>
      <c r="S77" s="138"/>
      <c r="T77" s="138"/>
      <c r="U77" s="138"/>
      <c r="V77" s="138"/>
    </row>
    <row r="78" spans="2:23" ht="16.5" customHeight="1" x14ac:dyDescent="0.35"/>
    <row r="79" spans="2:23" ht="12.75" customHeight="1" x14ac:dyDescent="0.35">
      <c r="C79" s="78"/>
      <c r="D79" s="47">
        <v>43983</v>
      </c>
      <c r="E79" s="46">
        <v>44348</v>
      </c>
      <c r="F79" s="46">
        <v>44713</v>
      </c>
      <c r="G79" s="46">
        <v>45078</v>
      </c>
    </row>
    <row r="80" spans="2:23" ht="12.75" customHeight="1" x14ac:dyDescent="0.35">
      <c r="B80" s="31"/>
      <c r="C80" s="79"/>
      <c r="D80" s="9" t="s">
        <v>132</v>
      </c>
      <c r="E80" s="44" t="s">
        <v>132</v>
      </c>
      <c r="F80" s="9" t="s">
        <v>132</v>
      </c>
      <c r="G80" s="9" t="s">
        <v>132</v>
      </c>
    </row>
    <row r="81" spans="2:5" ht="12.75" customHeight="1" x14ac:dyDescent="0.35">
      <c r="B81" s="31"/>
      <c r="D81" s="31"/>
      <c r="E81" s="31"/>
    </row>
    <row r="82" spans="2:5" ht="12.75" customHeight="1" x14ac:dyDescent="0.35">
      <c r="B82" s="31"/>
      <c r="D82" s="31"/>
      <c r="E82" s="31"/>
    </row>
    <row r="83" spans="2:5" ht="12.75" customHeight="1" x14ac:dyDescent="0.35">
      <c r="B83" s="26"/>
      <c r="D83" s="31"/>
      <c r="E83" s="31"/>
    </row>
    <row r="84" spans="2:5" ht="27.75" customHeight="1" x14ac:dyDescent="0.35">
      <c r="B84" s="26"/>
      <c r="D84" s="31"/>
      <c r="E84" s="31"/>
    </row>
    <row r="85" spans="2:5" ht="12.75" customHeight="1" x14ac:dyDescent="0.35">
      <c r="B85" s="54"/>
      <c r="D85" s="31"/>
      <c r="E85" s="31"/>
    </row>
    <row r="86" spans="2:5" ht="12.75" customHeight="1" x14ac:dyDescent="0.35">
      <c r="B86" s="54"/>
      <c r="D86" s="31"/>
      <c r="E86" s="31"/>
    </row>
    <row r="87" spans="2:5" ht="12.75" customHeight="1" x14ac:dyDescent="0.35">
      <c r="B87" s="55"/>
      <c r="D87" s="31"/>
      <c r="E87" s="31"/>
    </row>
    <row r="88" spans="2:5" ht="12.75" customHeight="1" x14ac:dyDescent="0.35">
      <c r="B88" s="54"/>
      <c r="D88" s="31"/>
      <c r="E88" s="31"/>
    </row>
    <row r="89" spans="2:5" ht="12.75" customHeight="1" x14ac:dyDescent="0.35">
      <c r="B89" s="54"/>
      <c r="D89" s="31"/>
      <c r="E89" s="31"/>
    </row>
    <row r="90" spans="2:5" ht="12.75" customHeight="1" x14ac:dyDescent="0.35">
      <c r="B90" s="55"/>
      <c r="D90" s="31"/>
      <c r="E90" s="31"/>
    </row>
    <row r="91" spans="2:5" ht="12.75" customHeight="1" x14ac:dyDescent="0.35">
      <c r="B91" s="55"/>
      <c r="D91" s="31"/>
      <c r="E91" s="31"/>
    </row>
    <row r="92" spans="2:5" ht="12.75" customHeight="1" x14ac:dyDescent="0.35">
      <c r="B92" s="54"/>
      <c r="D92" s="31"/>
      <c r="E92" s="31"/>
    </row>
    <row r="93" spans="2:5" ht="12.75" customHeight="1" x14ac:dyDescent="0.35">
      <c r="B93" s="54"/>
      <c r="D93" s="31"/>
      <c r="E93" s="31"/>
    </row>
    <row r="94" spans="2:5" ht="12.75" customHeight="1" x14ac:dyDescent="0.35">
      <c r="B94" s="54"/>
      <c r="D94" s="31"/>
      <c r="E94" s="31"/>
    </row>
    <row r="95" spans="2:5" ht="12.75" customHeight="1" x14ac:dyDescent="0.35">
      <c r="B95" s="54"/>
      <c r="D95" s="31"/>
      <c r="E95" s="31"/>
    </row>
    <row r="96" spans="2:5" ht="12.75" customHeight="1" x14ac:dyDescent="0.35">
      <c r="B96" s="54"/>
      <c r="D96" s="31"/>
      <c r="E96" s="31"/>
    </row>
    <row r="97" spans="2:5" ht="12.75" customHeight="1" x14ac:dyDescent="0.35">
      <c r="B97" s="54"/>
      <c r="D97" s="31"/>
      <c r="E97" s="31"/>
    </row>
    <row r="98" spans="2:5" ht="12.75" customHeight="1" x14ac:dyDescent="0.35">
      <c r="B98" s="55"/>
      <c r="D98" s="31"/>
      <c r="E98" s="31"/>
    </row>
    <row r="99" spans="2:5" ht="12.75" customHeight="1" x14ac:dyDescent="0.35">
      <c r="B99" s="54"/>
      <c r="D99" s="31"/>
      <c r="E99" s="31"/>
    </row>
    <row r="100" spans="2:5" ht="12.75" customHeight="1" x14ac:dyDescent="0.35">
      <c r="B100" s="55"/>
      <c r="D100" s="31"/>
      <c r="E100" s="31"/>
    </row>
    <row r="101" spans="2:5" ht="12.75" customHeight="1" x14ac:dyDescent="0.35">
      <c r="B101" s="55"/>
      <c r="D101" s="31"/>
      <c r="E101" s="31"/>
    </row>
    <row r="102" spans="2:5" ht="12.75" customHeight="1" x14ac:dyDescent="0.35">
      <c r="B102" s="54"/>
      <c r="D102" s="31"/>
      <c r="E102" s="31"/>
    </row>
    <row r="103" spans="2:5" ht="12.75" customHeight="1" x14ac:dyDescent="0.35">
      <c r="B103" s="55"/>
      <c r="D103" s="31"/>
      <c r="E103" s="31"/>
    </row>
    <row r="104" spans="2:5" ht="12.75" customHeight="1" x14ac:dyDescent="0.35">
      <c r="B104" s="54"/>
      <c r="D104" s="31"/>
      <c r="E104" s="31"/>
    </row>
    <row r="105" spans="2:5" ht="12.75" customHeight="1" x14ac:dyDescent="0.35">
      <c r="B105" s="54"/>
      <c r="D105" s="31"/>
      <c r="E105" s="31"/>
    </row>
    <row r="106" spans="2:5" ht="12.75" customHeight="1" x14ac:dyDescent="0.35">
      <c r="B106" s="54"/>
      <c r="D106" s="31"/>
      <c r="E106" s="31"/>
    </row>
    <row r="107" spans="2:5" ht="12.75" customHeight="1" x14ac:dyDescent="0.35">
      <c r="B107" s="54"/>
      <c r="D107" s="31"/>
      <c r="E107" s="31"/>
    </row>
    <row r="108" spans="2:5" ht="12.75" customHeight="1" x14ac:dyDescent="0.35">
      <c r="B108" s="54"/>
      <c r="D108" s="31"/>
      <c r="E108" s="31"/>
    </row>
    <row r="109" spans="2:5" ht="12.75" customHeight="1" x14ac:dyDescent="0.35">
      <c r="B109" s="54"/>
      <c r="D109" s="31"/>
      <c r="E109" s="31"/>
    </row>
    <row r="110" spans="2:5" ht="12.75" customHeight="1" x14ac:dyDescent="0.35">
      <c r="B110" s="54"/>
      <c r="D110" s="31"/>
      <c r="E110" s="31"/>
    </row>
    <row r="111" spans="2:5" ht="12.75" customHeight="1" x14ac:dyDescent="0.35">
      <c r="B111" s="54"/>
      <c r="D111" s="31"/>
      <c r="E111" s="31"/>
    </row>
    <row r="112" spans="2:5" ht="12.75" customHeight="1" x14ac:dyDescent="0.35">
      <c r="B112" s="54"/>
      <c r="D112" s="31"/>
      <c r="E112" s="31"/>
    </row>
    <row r="113" spans="2:5" ht="12.75" customHeight="1" x14ac:dyDescent="0.35">
      <c r="B113" s="54"/>
      <c r="D113" s="31"/>
      <c r="E113" s="31"/>
    </row>
    <row r="114" spans="2:5" ht="12.75" customHeight="1" x14ac:dyDescent="0.35">
      <c r="B114" s="54"/>
      <c r="D114" s="31"/>
      <c r="E114" s="31"/>
    </row>
    <row r="115" spans="2:5" ht="12.75" customHeight="1" x14ac:dyDescent="0.35">
      <c r="B115" s="54"/>
      <c r="D115" s="31"/>
      <c r="E115" s="31"/>
    </row>
    <row r="116" spans="2:5" ht="12.75" customHeight="1" x14ac:dyDescent="0.35">
      <c r="B116" s="54"/>
      <c r="D116" s="31"/>
      <c r="E116" s="31"/>
    </row>
    <row r="117" spans="2:5" ht="12.75" customHeight="1" x14ac:dyDescent="0.35">
      <c r="B117" s="31"/>
      <c r="D117" s="31"/>
      <c r="E117" s="31"/>
    </row>
    <row r="118" spans="2:5" ht="12.75" customHeight="1" x14ac:dyDescent="0.35">
      <c r="B118" s="31"/>
      <c r="D118" s="31"/>
      <c r="E118" s="31"/>
    </row>
    <row r="119" spans="2:5" ht="12.75" customHeight="1" x14ac:dyDescent="0.35">
      <c r="B119" s="31"/>
      <c r="D119" s="31"/>
      <c r="E119" s="31"/>
    </row>
    <row r="120" spans="2:5" ht="12.75" customHeight="1" x14ac:dyDescent="0.35">
      <c r="B120" s="31"/>
      <c r="D120" s="31"/>
      <c r="E120" s="31"/>
    </row>
    <row r="121" spans="2:5" ht="12.75" customHeight="1" x14ac:dyDescent="0.35">
      <c r="B121" s="31"/>
      <c r="D121" s="31"/>
      <c r="E121" s="31"/>
    </row>
    <row r="122" spans="2:5" ht="12.75" customHeight="1" x14ac:dyDescent="0.35">
      <c r="B122" s="31"/>
      <c r="D122" s="31"/>
      <c r="E122" s="31"/>
    </row>
    <row r="123" spans="2:5" ht="12.75" customHeight="1" x14ac:dyDescent="0.35">
      <c r="B123" s="31"/>
      <c r="D123" s="31"/>
      <c r="E123" s="31"/>
    </row>
    <row r="124" spans="2:5" ht="12.75" customHeight="1" x14ac:dyDescent="0.35">
      <c r="B124" s="31"/>
      <c r="D124" s="31"/>
      <c r="E124" s="31"/>
    </row>
    <row r="125" spans="2:5" ht="12.75" customHeight="1" x14ac:dyDescent="0.35">
      <c r="B125" s="31"/>
      <c r="D125" s="31"/>
      <c r="E125" s="31"/>
    </row>
    <row r="126" spans="2:5" ht="12.75" customHeight="1" x14ac:dyDescent="0.35">
      <c r="B126" s="31"/>
      <c r="D126" s="31"/>
      <c r="E126" s="31"/>
    </row>
    <row r="127" spans="2:5" ht="12.75" customHeight="1" x14ac:dyDescent="0.35">
      <c r="B127" s="31"/>
      <c r="D127" s="31"/>
      <c r="E127" s="31"/>
    </row>
    <row r="128" spans="2:5" ht="12.75" customHeight="1" x14ac:dyDescent="0.35">
      <c r="B128" s="31"/>
      <c r="D128" s="31"/>
      <c r="E128" s="31"/>
    </row>
    <row r="129" spans="2:5" ht="12.75" customHeight="1" x14ac:dyDescent="0.35">
      <c r="B129" s="31"/>
      <c r="D129" s="31"/>
      <c r="E129" s="31"/>
    </row>
    <row r="130" spans="2:5" ht="12.75" customHeight="1" x14ac:dyDescent="0.35">
      <c r="B130" s="31"/>
      <c r="D130" s="31"/>
      <c r="E130" s="31"/>
    </row>
    <row r="131" spans="2:5" ht="12.75" customHeight="1" x14ac:dyDescent="0.35">
      <c r="B131" s="31"/>
      <c r="D131" s="31"/>
      <c r="E131" s="31"/>
    </row>
    <row r="132" spans="2:5" ht="12.75" customHeight="1" x14ac:dyDescent="0.35">
      <c r="B132" s="31"/>
      <c r="D132" s="31"/>
      <c r="E132" s="31"/>
    </row>
    <row r="133" spans="2:5" ht="12.75" customHeight="1" x14ac:dyDescent="0.35">
      <c r="B133" s="31"/>
      <c r="D133" s="31"/>
      <c r="E133" s="31"/>
    </row>
    <row r="134" spans="2:5" ht="12.75" customHeight="1" x14ac:dyDescent="0.35">
      <c r="B134" s="31"/>
      <c r="D134" s="31"/>
      <c r="E134" s="31"/>
    </row>
    <row r="135" spans="2:5" ht="12.75" customHeight="1" x14ac:dyDescent="0.35">
      <c r="B135" s="31"/>
      <c r="D135" s="31"/>
      <c r="E135" s="31"/>
    </row>
    <row r="136" spans="2:5" ht="12.75" customHeight="1" x14ac:dyDescent="0.35">
      <c r="B136" s="31"/>
      <c r="D136" s="31"/>
      <c r="E136" s="31"/>
    </row>
    <row r="137" spans="2:5" ht="12.75" customHeight="1" x14ac:dyDescent="0.35">
      <c r="B137" s="31"/>
      <c r="D137" s="31"/>
      <c r="E137" s="31"/>
    </row>
    <row r="138" spans="2:5" ht="12.75" customHeight="1" x14ac:dyDescent="0.35">
      <c r="B138" s="31"/>
      <c r="D138" s="31"/>
      <c r="E138" s="31"/>
    </row>
    <row r="139" spans="2:5" ht="12.75" customHeight="1" x14ac:dyDescent="0.35">
      <c r="B139" s="31"/>
      <c r="D139" s="31"/>
      <c r="E139" s="31"/>
    </row>
    <row r="140" spans="2:5" ht="12.75" customHeight="1" x14ac:dyDescent="0.35">
      <c r="B140" s="31"/>
      <c r="D140" s="31"/>
      <c r="E140" s="31"/>
    </row>
    <row r="141" spans="2:5" ht="12.75" customHeight="1" x14ac:dyDescent="0.35">
      <c r="B141" s="31"/>
      <c r="D141" s="31"/>
      <c r="E141" s="31"/>
    </row>
    <row r="142" spans="2:5" ht="12.75" customHeight="1" x14ac:dyDescent="0.35">
      <c r="B142" s="31"/>
      <c r="D142" s="31"/>
      <c r="E142" s="31"/>
    </row>
    <row r="143" spans="2:5" ht="12.75" customHeight="1" x14ac:dyDescent="0.35">
      <c r="B143" s="31"/>
      <c r="D143" s="31"/>
      <c r="E143" s="31"/>
    </row>
    <row r="144" spans="2:5" ht="12.75" customHeight="1" x14ac:dyDescent="0.35">
      <c r="B144" s="31"/>
      <c r="D144" s="31"/>
      <c r="E144" s="31"/>
    </row>
    <row r="145" spans="2:5" ht="12.75" customHeight="1" x14ac:dyDescent="0.35">
      <c r="B145" s="31"/>
      <c r="D145" s="31"/>
      <c r="E145" s="31"/>
    </row>
    <row r="146" spans="2:5" ht="12.75" customHeight="1" x14ac:dyDescent="0.35">
      <c r="B146" s="31"/>
      <c r="D146" s="31"/>
      <c r="E146" s="31"/>
    </row>
    <row r="147" spans="2:5" ht="12.75" customHeight="1" x14ac:dyDescent="0.35">
      <c r="B147" s="31"/>
      <c r="D147" s="31"/>
      <c r="E147" s="31"/>
    </row>
    <row r="148" spans="2:5" ht="12.75" customHeight="1" x14ac:dyDescent="0.35">
      <c r="B148" s="31"/>
      <c r="D148" s="31"/>
      <c r="E148" s="31"/>
    </row>
    <row r="149" spans="2:5" ht="12.75" customHeight="1" x14ac:dyDescent="0.35">
      <c r="B149" s="31"/>
      <c r="D149" s="31"/>
      <c r="E149" s="31"/>
    </row>
    <row r="150" spans="2:5" ht="12.75" customHeight="1" x14ac:dyDescent="0.35">
      <c r="B150" s="31"/>
      <c r="D150" s="31"/>
      <c r="E150" s="31"/>
    </row>
    <row r="151" spans="2:5" ht="12.75" customHeight="1" x14ac:dyDescent="0.35">
      <c r="B151" s="31"/>
      <c r="D151" s="31"/>
      <c r="E151" s="31"/>
    </row>
    <row r="152" spans="2:5" ht="12.75" customHeight="1" x14ac:dyDescent="0.35">
      <c r="B152" s="31"/>
      <c r="D152" s="31"/>
      <c r="E152" s="31"/>
    </row>
    <row r="153" spans="2:5" ht="12.75" customHeight="1" x14ac:dyDescent="0.35">
      <c r="B153" s="31"/>
      <c r="D153" s="31"/>
      <c r="E153" s="31"/>
    </row>
    <row r="154" spans="2:5" ht="12.75" customHeight="1" x14ac:dyDescent="0.35">
      <c r="B154" s="31"/>
      <c r="D154" s="31"/>
      <c r="E154" s="31"/>
    </row>
    <row r="155" spans="2:5" ht="12.75" customHeight="1" x14ac:dyDescent="0.35">
      <c r="B155" s="31"/>
      <c r="D155" s="31"/>
      <c r="E155" s="31"/>
    </row>
    <row r="156" spans="2:5" ht="12.75" customHeight="1" x14ac:dyDescent="0.35">
      <c r="B156" s="31"/>
      <c r="D156" s="31"/>
      <c r="E156" s="31"/>
    </row>
    <row r="157" spans="2:5" ht="12.75" customHeight="1" x14ac:dyDescent="0.35">
      <c r="B157" s="31"/>
      <c r="D157" s="31"/>
      <c r="E157" s="31"/>
    </row>
    <row r="158" spans="2:5" ht="12.75" customHeight="1" x14ac:dyDescent="0.35">
      <c r="B158" s="31"/>
      <c r="D158" s="31"/>
      <c r="E158" s="31"/>
    </row>
    <row r="159" spans="2:5" ht="12.75" customHeight="1" x14ac:dyDescent="0.35">
      <c r="B159" s="31"/>
      <c r="D159" s="31"/>
      <c r="E159" s="31"/>
    </row>
    <row r="160" spans="2:5" ht="12.75" customHeight="1" x14ac:dyDescent="0.35">
      <c r="B160" s="31"/>
      <c r="D160" s="31"/>
      <c r="E160" s="31"/>
    </row>
    <row r="161" spans="2:5" ht="12.75" customHeight="1" x14ac:dyDescent="0.35">
      <c r="B161" s="31"/>
      <c r="D161" s="31"/>
      <c r="E161" s="31"/>
    </row>
    <row r="162" spans="2:5" ht="12.75" customHeight="1" x14ac:dyDescent="0.35">
      <c r="B162" s="31"/>
      <c r="D162" s="31"/>
      <c r="E162" s="31"/>
    </row>
    <row r="163" spans="2:5" ht="12.75" customHeight="1" x14ac:dyDescent="0.35">
      <c r="B163" s="31"/>
      <c r="D163" s="31"/>
      <c r="E163" s="31"/>
    </row>
    <row r="164" spans="2:5" ht="12.75" customHeight="1" x14ac:dyDescent="0.35">
      <c r="B164" s="31"/>
      <c r="D164" s="31"/>
      <c r="E164" s="31"/>
    </row>
    <row r="165" spans="2:5" ht="12.75" customHeight="1" x14ac:dyDescent="0.35">
      <c r="B165" s="31"/>
      <c r="D165" s="31"/>
      <c r="E165" s="31"/>
    </row>
    <row r="166" spans="2:5" ht="12.75" customHeight="1" x14ac:dyDescent="0.35">
      <c r="B166" s="31"/>
      <c r="D166" s="31"/>
      <c r="E166" s="31"/>
    </row>
    <row r="167" spans="2:5" ht="12.75" customHeight="1" x14ac:dyDescent="0.35">
      <c r="B167" s="31"/>
      <c r="D167" s="31"/>
      <c r="E167" s="31"/>
    </row>
    <row r="168" spans="2:5" ht="12.75" customHeight="1" x14ac:dyDescent="0.35">
      <c r="B168" s="31"/>
      <c r="D168" s="31"/>
      <c r="E168" s="31"/>
    </row>
    <row r="169" spans="2:5" ht="12.75" customHeight="1" x14ac:dyDescent="0.35">
      <c r="B169" s="31"/>
      <c r="D169" s="31"/>
      <c r="E169" s="31"/>
    </row>
    <row r="170" spans="2:5" ht="12.75" customHeight="1" x14ac:dyDescent="0.35">
      <c r="B170" s="31"/>
      <c r="D170" s="31"/>
      <c r="E170" s="31"/>
    </row>
    <row r="171" spans="2:5" ht="12.75" customHeight="1" x14ac:dyDescent="0.35">
      <c r="B171" s="31"/>
      <c r="D171" s="31"/>
      <c r="E171" s="31"/>
    </row>
    <row r="172" spans="2:5" ht="12.75" customHeight="1" x14ac:dyDescent="0.35">
      <c r="B172" s="31"/>
      <c r="D172" s="31"/>
      <c r="E172" s="31"/>
    </row>
    <row r="173" spans="2:5" ht="12.75" customHeight="1" x14ac:dyDescent="0.35">
      <c r="B173" s="31"/>
      <c r="D173" s="31"/>
      <c r="E173" s="31"/>
    </row>
    <row r="174" spans="2:5" ht="12.75" customHeight="1" x14ac:dyDescent="0.35">
      <c r="B174" s="31"/>
      <c r="D174" s="31"/>
      <c r="E174" s="31"/>
    </row>
    <row r="175" spans="2:5" ht="12.75" customHeight="1" x14ac:dyDescent="0.35">
      <c r="B175" s="31"/>
      <c r="D175" s="31"/>
      <c r="E175" s="31"/>
    </row>
    <row r="176" spans="2:5" ht="12.75" customHeight="1" x14ac:dyDescent="0.35">
      <c r="B176" s="31"/>
      <c r="D176" s="31"/>
      <c r="E176" s="31"/>
    </row>
    <row r="177" spans="2:5" ht="12.75" customHeight="1" x14ac:dyDescent="0.35">
      <c r="B177" s="31"/>
      <c r="D177" s="31"/>
      <c r="E177" s="31"/>
    </row>
    <row r="178" spans="2:5" ht="12.75" customHeight="1" x14ac:dyDescent="0.35">
      <c r="B178" s="31"/>
      <c r="D178" s="31"/>
      <c r="E178" s="31"/>
    </row>
    <row r="179" spans="2:5" ht="12.75" customHeight="1" x14ac:dyDescent="0.35">
      <c r="B179" s="31"/>
      <c r="D179" s="31"/>
      <c r="E179" s="31"/>
    </row>
    <row r="180" spans="2:5" ht="12.75" customHeight="1" x14ac:dyDescent="0.35">
      <c r="B180" s="31"/>
      <c r="D180" s="31"/>
      <c r="E180" s="31"/>
    </row>
    <row r="181" spans="2:5" ht="12.75" customHeight="1" x14ac:dyDescent="0.35">
      <c r="B181" s="31"/>
      <c r="D181" s="31"/>
      <c r="E181" s="31"/>
    </row>
    <row r="182" spans="2:5" ht="12.75" customHeight="1" x14ac:dyDescent="0.35">
      <c r="B182" s="31"/>
      <c r="D182" s="31"/>
      <c r="E182" s="31"/>
    </row>
    <row r="183" spans="2:5" ht="12.75" customHeight="1" x14ac:dyDescent="0.35">
      <c r="B183" s="31"/>
      <c r="D183" s="31"/>
      <c r="E183" s="31"/>
    </row>
    <row r="184" spans="2:5" ht="12.75" customHeight="1" x14ac:dyDescent="0.35">
      <c r="B184" s="31"/>
      <c r="D184" s="31"/>
      <c r="E184" s="31"/>
    </row>
    <row r="185" spans="2:5" ht="12.75" customHeight="1" x14ac:dyDescent="0.35">
      <c r="B185" s="31"/>
      <c r="D185" s="31"/>
      <c r="E185" s="31"/>
    </row>
    <row r="186" spans="2:5" ht="12.75" customHeight="1" x14ac:dyDescent="0.35">
      <c r="B186" s="31"/>
      <c r="D186" s="31"/>
      <c r="E186" s="31"/>
    </row>
    <row r="187" spans="2:5" ht="12.75" customHeight="1" x14ac:dyDescent="0.35">
      <c r="B187" s="31"/>
      <c r="D187" s="31"/>
      <c r="E187" s="31"/>
    </row>
    <row r="188" spans="2:5" ht="12.75" customHeight="1" x14ac:dyDescent="0.35">
      <c r="B188" s="31"/>
      <c r="D188" s="31"/>
      <c r="E188" s="31"/>
    </row>
    <row r="189" spans="2:5" ht="12.75" customHeight="1" x14ac:dyDescent="0.35">
      <c r="B189" s="31"/>
      <c r="D189" s="31"/>
      <c r="E189" s="31"/>
    </row>
    <row r="190" spans="2:5" ht="12.75" customHeight="1" x14ac:dyDescent="0.35">
      <c r="B190" s="31"/>
      <c r="D190" s="31"/>
      <c r="E190" s="31"/>
    </row>
    <row r="191" spans="2:5" ht="12.75" customHeight="1" x14ac:dyDescent="0.35">
      <c r="B191" s="31"/>
      <c r="D191" s="31"/>
      <c r="E191" s="31"/>
    </row>
    <row r="192" spans="2:5" ht="12.75" customHeight="1" x14ac:dyDescent="0.35">
      <c r="B192" s="31"/>
      <c r="D192" s="31"/>
      <c r="E192" s="31"/>
    </row>
    <row r="193" spans="2:5" ht="12.75" customHeight="1" x14ac:dyDescent="0.35">
      <c r="B193" s="31"/>
      <c r="D193" s="31"/>
      <c r="E193" s="31"/>
    </row>
    <row r="194" spans="2:5" ht="12.75" customHeight="1" x14ac:dyDescent="0.35">
      <c r="B194" s="31"/>
      <c r="D194" s="31"/>
      <c r="E194" s="31"/>
    </row>
    <row r="195" spans="2:5" ht="12.75" customHeight="1" x14ac:dyDescent="0.35">
      <c r="B195" s="31"/>
      <c r="D195" s="31"/>
      <c r="E195" s="31"/>
    </row>
    <row r="196" spans="2:5" ht="12.75" customHeight="1" x14ac:dyDescent="0.35">
      <c r="B196" s="31"/>
      <c r="D196" s="31"/>
      <c r="E196" s="31"/>
    </row>
    <row r="197" spans="2:5" ht="12.75" customHeight="1" x14ac:dyDescent="0.35">
      <c r="B197" s="31"/>
      <c r="D197" s="31"/>
      <c r="E197" s="31"/>
    </row>
    <row r="198" spans="2:5" ht="12.75" customHeight="1" x14ac:dyDescent="0.35">
      <c r="B198" s="31"/>
      <c r="D198" s="31"/>
      <c r="E198" s="31"/>
    </row>
    <row r="199" spans="2:5" ht="12.75" customHeight="1" x14ac:dyDescent="0.35">
      <c r="B199" s="31"/>
      <c r="D199" s="31"/>
      <c r="E199" s="31"/>
    </row>
    <row r="200" spans="2:5" ht="12.75" customHeight="1" x14ac:dyDescent="0.35">
      <c r="B200" s="31"/>
      <c r="D200" s="31"/>
      <c r="E200" s="31"/>
    </row>
    <row r="201" spans="2:5" ht="12.75" customHeight="1" x14ac:dyDescent="0.35">
      <c r="B201" s="31"/>
      <c r="D201" s="31"/>
      <c r="E201" s="31"/>
    </row>
    <row r="202" spans="2:5" ht="12.75" customHeight="1" x14ac:dyDescent="0.35">
      <c r="B202" s="31"/>
      <c r="D202" s="31"/>
      <c r="E202" s="31"/>
    </row>
    <row r="203" spans="2:5" ht="12.75" customHeight="1" x14ac:dyDescent="0.35">
      <c r="B203" s="31"/>
      <c r="D203" s="31"/>
      <c r="E203" s="31"/>
    </row>
    <row r="204" spans="2:5" ht="12.75" customHeight="1" x14ac:dyDescent="0.35">
      <c r="B204" s="31"/>
      <c r="D204" s="31"/>
      <c r="E204" s="31"/>
    </row>
    <row r="205" spans="2:5" ht="12.75" customHeight="1" x14ac:dyDescent="0.35">
      <c r="B205" s="31"/>
      <c r="D205" s="31"/>
      <c r="E205" s="31"/>
    </row>
    <row r="206" spans="2:5" ht="12.75" customHeight="1" x14ac:dyDescent="0.35">
      <c r="B206" s="31"/>
      <c r="D206" s="31"/>
      <c r="E206" s="31"/>
    </row>
    <row r="207" spans="2:5" ht="12.75" customHeight="1" x14ac:dyDescent="0.35">
      <c r="B207" s="31"/>
      <c r="D207" s="31"/>
      <c r="E207" s="31"/>
    </row>
    <row r="208" spans="2:5" ht="12.75" customHeight="1" x14ac:dyDescent="0.35">
      <c r="B208" s="31"/>
      <c r="D208" s="31"/>
      <c r="E208" s="31"/>
    </row>
    <row r="209" spans="2:5" ht="12.75" customHeight="1" x14ac:dyDescent="0.35">
      <c r="B209" s="31"/>
      <c r="D209" s="31"/>
      <c r="E209" s="31"/>
    </row>
    <row r="210" spans="2:5" ht="12.75" customHeight="1" x14ac:dyDescent="0.35">
      <c r="B210" s="31"/>
      <c r="D210" s="31"/>
      <c r="E210" s="31"/>
    </row>
    <row r="211" spans="2:5" ht="12.75" customHeight="1" x14ac:dyDescent="0.35">
      <c r="B211" s="31"/>
      <c r="D211" s="31"/>
      <c r="E211" s="31"/>
    </row>
    <row r="212" spans="2:5" ht="12.75" customHeight="1" x14ac:dyDescent="0.35">
      <c r="B212" s="31"/>
      <c r="D212" s="31"/>
      <c r="E212" s="31"/>
    </row>
    <row r="213" spans="2:5" ht="12.75" customHeight="1" x14ac:dyDescent="0.35">
      <c r="B213" s="31"/>
      <c r="D213" s="31"/>
      <c r="E213" s="31"/>
    </row>
    <row r="214" spans="2:5" ht="12.75" customHeight="1" x14ac:dyDescent="0.35">
      <c r="B214" s="31"/>
      <c r="D214" s="31"/>
      <c r="E214" s="31"/>
    </row>
    <row r="215" spans="2:5" ht="12.75" customHeight="1" x14ac:dyDescent="0.35">
      <c r="B215" s="31"/>
      <c r="D215" s="31"/>
      <c r="E215" s="31"/>
    </row>
    <row r="216" spans="2:5" ht="12.75" customHeight="1" x14ac:dyDescent="0.35">
      <c r="B216" s="31"/>
      <c r="D216" s="31"/>
      <c r="E216" s="31"/>
    </row>
    <row r="217" spans="2:5" ht="12.75" customHeight="1" x14ac:dyDescent="0.35">
      <c r="B217" s="31"/>
      <c r="D217" s="31"/>
      <c r="E217" s="31"/>
    </row>
    <row r="218" spans="2:5" ht="12.75" customHeight="1" x14ac:dyDescent="0.35">
      <c r="B218" s="31"/>
      <c r="D218" s="31"/>
      <c r="E218" s="31"/>
    </row>
    <row r="219" spans="2:5" ht="12.75" customHeight="1" x14ac:dyDescent="0.35">
      <c r="B219" s="31"/>
      <c r="D219" s="31"/>
      <c r="E219" s="31"/>
    </row>
    <row r="220" spans="2:5" ht="12.75" customHeight="1" x14ac:dyDescent="0.35">
      <c r="B220" s="31"/>
      <c r="D220" s="31"/>
      <c r="E220" s="31"/>
    </row>
    <row r="221" spans="2:5" ht="12.75" customHeight="1" x14ac:dyDescent="0.35">
      <c r="B221" s="31"/>
      <c r="D221" s="31"/>
      <c r="E221" s="31"/>
    </row>
    <row r="222" spans="2:5" ht="12.75" customHeight="1" x14ac:dyDescent="0.35">
      <c r="B222" s="31"/>
      <c r="D222" s="31"/>
      <c r="E222" s="31"/>
    </row>
    <row r="223" spans="2:5" ht="12.75" customHeight="1" x14ac:dyDescent="0.35">
      <c r="B223" s="31"/>
      <c r="D223" s="31"/>
      <c r="E223" s="31"/>
    </row>
    <row r="224" spans="2:5" ht="12.75" customHeight="1" x14ac:dyDescent="0.35">
      <c r="B224" s="31"/>
      <c r="D224" s="31"/>
      <c r="E224" s="31"/>
    </row>
    <row r="225" spans="2:5" ht="12.75" customHeight="1" x14ac:dyDescent="0.35">
      <c r="B225" s="31"/>
      <c r="D225" s="31"/>
      <c r="E225" s="31"/>
    </row>
    <row r="226" spans="2:5" ht="12.75" customHeight="1" x14ac:dyDescent="0.35">
      <c r="B226" s="31"/>
      <c r="D226" s="31"/>
      <c r="E226" s="31"/>
    </row>
    <row r="227" spans="2:5" ht="12.75" customHeight="1" x14ac:dyDescent="0.35">
      <c r="B227" s="31"/>
      <c r="D227" s="31"/>
      <c r="E227" s="31"/>
    </row>
    <row r="228" spans="2:5" ht="12.75" customHeight="1" x14ac:dyDescent="0.35">
      <c r="B228" s="31"/>
      <c r="D228" s="31"/>
      <c r="E228" s="31"/>
    </row>
    <row r="229" spans="2:5" ht="12.75" customHeight="1" x14ac:dyDescent="0.35">
      <c r="B229" s="31"/>
      <c r="D229" s="31"/>
      <c r="E229" s="31"/>
    </row>
    <row r="230" spans="2:5" ht="12.75" customHeight="1" x14ac:dyDescent="0.35">
      <c r="B230" s="31"/>
      <c r="D230" s="31"/>
      <c r="E230" s="31"/>
    </row>
    <row r="231" spans="2:5" ht="12.75" customHeight="1" x14ac:dyDescent="0.35">
      <c r="B231" s="31"/>
      <c r="D231" s="31"/>
      <c r="E231" s="31"/>
    </row>
    <row r="232" spans="2:5" ht="12.75" customHeight="1" x14ac:dyDescent="0.35">
      <c r="B232" s="31"/>
      <c r="D232" s="31"/>
      <c r="E232" s="31"/>
    </row>
    <row r="233" spans="2:5" ht="12.75" customHeight="1" x14ac:dyDescent="0.35">
      <c r="B233" s="31"/>
      <c r="D233" s="31"/>
      <c r="E233" s="31"/>
    </row>
    <row r="234" spans="2:5" ht="12.75" customHeight="1" x14ac:dyDescent="0.35">
      <c r="B234" s="31"/>
      <c r="D234" s="31"/>
      <c r="E234" s="31"/>
    </row>
    <row r="235" spans="2:5" ht="12.75" customHeight="1" x14ac:dyDescent="0.35">
      <c r="B235" s="31"/>
      <c r="D235" s="31"/>
      <c r="E235" s="31"/>
    </row>
    <row r="236" spans="2:5" ht="12.75" customHeight="1" x14ac:dyDescent="0.35">
      <c r="B236" s="31"/>
      <c r="D236" s="31"/>
      <c r="E236" s="31"/>
    </row>
    <row r="237" spans="2:5" ht="12.75" customHeight="1" x14ac:dyDescent="0.35">
      <c r="B237" s="31"/>
      <c r="D237" s="31"/>
      <c r="E237" s="31"/>
    </row>
    <row r="238" spans="2:5" ht="12.75" customHeight="1" x14ac:dyDescent="0.35">
      <c r="B238" s="31"/>
      <c r="D238" s="31"/>
      <c r="E238" s="31"/>
    </row>
    <row r="239" spans="2:5" ht="12.75" customHeight="1" x14ac:dyDescent="0.35">
      <c r="B239" s="31"/>
      <c r="D239" s="31"/>
      <c r="E239" s="31"/>
    </row>
    <row r="240" spans="2:5" ht="12.75" customHeight="1" x14ac:dyDescent="0.35">
      <c r="B240" s="31"/>
      <c r="D240" s="31"/>
      <c r="E240" s="31"/>
    </row>
    <row r="241" spans="2:5" ht="12.75" customHeight="1" x14ac:dyDescent="0.35">
      <c r="B241" s="31"/>
      <c r="D241" s="31"/>
      <c r="E241" s="31"/>
    </row>
    <row r="242" spans="2:5" ht="12.75" customHeight="1" x14ac:dyDescent="0.35">
      <c r="B242" s="31"/>
      <c r="D242" s="31"/>
      <c r="E242" s="31"/>
    </row>
    <row r="243" spans="2:5" ht="12.75" customHeight="1" x14ac:dyDescent="0.35">
      <c r="B243" s="31"/>
      <c r="D243" s="31"/>
      <c r="E243" s="31"/>
    </row>
    <row r="244" spans="2:5" ht="12.75" customHeight="1" x14ac:dyDescent="0.35">
      <c r="B244" s="31"/>
      <c r="D244" s="31"/>
      <c r="E244" s="31"/>
    </row>
    <row r="245" spans="2:5" ht="12.75" customHeight="1" x14ac:dyDescent="0.35">
      <c r="B245" s="31"/>
      <c r="D245" s="31"/>
      <c r="E245" s="31"/>
    </row>
    <row r="246" spans="2:5" ht="12.75" customHeight="1" x14ac:dyDescent="0.35">
      <c r="B246" s="31"/>
      <c r="D246" s="31"/>
      <c r="E246" s="31"/>
    </row>
    <row r="247" spans="2:5" ht="12.75" customHeight="1" x14ac:dyDescent="0.35">
      <c r="B247" s="31"/>
      <c r="D247" s="31"/>
      <c r="E247" s="31"/>
    </row>
    <row r="248" spans="2:5" ht="12.75" customHeight="1" x14ac:dyDescent="0.35">
      <c r="B248" s="31"/>
      <c r="D248" s="31"/>
      <c r="E248" s="31"/>
    </row>
    <row r="249" spans="2:5" ht="12.75" customHeight="1" x14ac:dyDescent="0.35">
      <c r="B249" s="31"/>
      <c r="D249" s="31"/>
      <c r="E249" s="31"/>
    </row>
    <row r="250" spans="2:5" ht="12.75" customHeight="1" x14ac:dyDescent="0.35">
      <c r="B250" s="31"/>
      <c r="D250" s="31"/>
      <c r="E250" s="31"/>
    </row>
    <row r="251" spans="2:5" ht="12.75" customHeight="1" x14ac:dyDescent="0.35">
      <c r="B251" s="31"/>
      <c r="D251" s="31"/>
      <c r="E251" s="31"/>
    </row>
    <row r="252" spans="2:5" ht="12.75" customHeight="1" x14ac:dyDescent="0.35">
      <c r="B252" s="31"/>
      <c r="D252" s="31"/>
      <c r="E252" s="31"/>
    </row>
    <row r="253" spans="2:5" ht="12.75" customHeight="1" x14ac:dyDescent="0.35">
      <c r="B253" s="31"/>
      <c r="D253" s="31"/>
      <c r="E253" s="31"/>
    </row>
    <row r="254" spans="2:5" ht="12.75" customHeight="1" x14ac:dyDescent="0.35">
      <c r="B254" s="31"/>
      <c r="D254" s="31"/>
      <c r="E254" s="31"/>
    </row>
    <row r="255" spans="2:5" ht="12.75" customHeight="1" x14ac:dyDescent="0.35">
      <c r="B255" s="31"/>
      <c r="D255" s="31"/>
      <c r="E255" s="31"/>
    </row>
    <row r="256" spans="2:5" ht="12.75" customHeight="1" x14ac:dyDescent="0.35">
      <c r="B256" s="31"/>
      <c r="D256" s="31"/>
      <c r="E256" s="31"/>
    </row>
    <row r="257" spans="2:5" ht="12.75" customHeight="1" x14ac:dyDescent="0.35">
      <c r="B257" s="31"/>
      <c r="D257" s="31"/>
      <c r="E257" s="31"/>
    </row>
    <row r="258" spans="2:5" ht="12.75" customHeight="1" x14ac:dyDescent="0.35">
      <c r="B258" s="31"/>
      <c r="D258" s="31"/>
      <c r="E258" s="31"/>
    </row>
    <row r="259" spans="2:5" ht="12.75" customHeight="1" x14ac:dyDescent="0.35">
      <c r="B259" s="31"/>
      <c r="D259" s="31"/>
      <c r="E259" s="31"/>
    </row>
    <row r="260" spans="2:5" ht="12.75" customHeight="1" x14ac:dyDescent="0.35">
      <c r="B260" s="31"/>
      <c r="D260" s="31"/>
      <c r="E260" s="31"/>
    </row>
    <row r="261" spans="2:5" ht="12.75" customHeight="1" x14ac:dyDescent="0.35">
      <c r="B261" s="31"/>
      <c r="D261" s="31"/>
      <c r="E261" s="31"/>
    </row>
    <row r="262" spans="2:5" ht="12.75" customHeight="1" x14ac:dyDescent="0.35">
      <c r="B262" s="31"/>
      <c r="D262" s="31"/>
      <c r="E262" s="31"/>
    </row>
    <row r="263" spans="2:5" ht="12.75" customHeight="1" x14ac:dyDescent="0.35">
      <c r="B263" s="31"/>
      <c r="D263" s="31"/>
      <c r="E263" s="31"/>
    </row>
    <row r="264" spans="2:5" ht="12.75" customHeight="1" x14ac:dyDescent="0.35">
      <c r="B264" s="31"/>
      <c r="D264" s="31"/>
      <c r="E264" s="31"/>
    </row>
    <row r="265" spans="2:5" ht="12.75" customHeight="1" x14ac:dyDescent="0.35">
      <c r="B265" s="31"/>
      <c r="D265" s="31"/>
      <c r="E265" s="31"/>
    </row>
    <row r="266" spans="2:5" ht="12.75" customHeight="1" x14ac:dyDescent="0.35">
      <c r="B266" s="31"/>
      <c r="D266" s="31"/>
      <c r="E266" s="31"/>
    </row>
    <row r="267" spans="2:5" ht="12.75" customHeight="1" x14ac:dyDescent="0.35">
      <c r="B267" s="31"/>
      <c r="D267" s="31"/>
      <c r="E267" s="31"/>
    </row>
    <row r="268" spans="2:5" ht="12.75" customHeight="1" x14ac:dyDescent="0.35">
      <c r="B268" s="31"/>
      <c r="D268" s="31"/>
      <c r="E268" s="31"/>
    </row>
    <row r="269" spans="2:5" ht="12.75" customHeight="1" x14ac:dyDescent="0.35">
      <c r="B269" s="31"/>
      <c r="D269" s="31"/>
      <c r="E269" s="31"/>
    </row>
    <row r="270" spans="2:5" ht="12.75" customHeight="1" x14ac:dyDescent="0.35">
      <c r="B270" s="31"/>
      <c r="D270" s="31"/>
      <c r="E270" s="31"/>
    </row>
    <row r="271" spans="2:5" ht="12.75" customHeight="1" x14ac:dyDescent="0.35">
      <c r="B271" s="31"/>
      <c r="D271" s="31"/>
      <c r="E271" s="31"/>
    </row>
    <row r="272" spans="2:5" ht="12.75" customHeight="1" x14ac:dyDescent="0.35">
      <c r="B272" s="31"/>
      <c r="D272" s="31"/>
      <c r="E272" s="31"/>
    </row>
    <row r="273" spans="2:5" ht="12.75" customHeight="1" x14ac:dyDescent="0.35">
      <c r="B273" s="31"/>
      <c r="D273" s="31"/>
      <c r="E273" s="31"/>
    </row>
    <row r="274" spans="2:5" ht="12.75" customHeight="1" x14ac:dyDescent="0.35">
      <c r="B274" s="31"/>
      <c r="D274" s="31"/>
      <c r="E274" s="31"/>
    </row>
    <row r="275" spans="2:5" ht="12.75" customHeight="1" x14ac:dyDescent="0.35">
      <c r="B275" s="31"/>
      <c r="D275" s="31"/>
      <c r="E275" s="31"/>
    </row>
    <row r="276" spans="2:5" ht="12.75" customHeight="1" x14ac:dyDescent="0.35">
      <c r="B276" s="31"/>
      <c r="D276" s="31"/>
      <c r="E276" s="31"/>
    </row>
    <row r="277" spans="2:5" ht="12.75" customHeight="1" x14ac:dyDescent="0.35">
      <c r="B277" s="31"/>
      <c r="D277" s="31"/>
      <c r="E277" s="31"/>
    </row>
    <row r="278" spans="2:5" ht="12.75" customHeight="1" x14ac:dyDescent="0.35">
      <c r="B278" s="31"/>
      <c r="D278" s="31"/>
      <c r="E278" s="31"/>
    </row>
    <row r="279" spans="2:5" ht="12.75" customHeight="1" x14ac:dyDescent="0.35">
      <c r="B279" s="31"/>
      <c r="D279" s="31"/>
      <c r="E279" s="31"/>
    </row>
    <row r="280" spans="2:5" ht="12.75" customHeight="1" x14ac:dyDescent="0.35">
      <c r="B280" s="31"/>
      <c r="D280" s="31"/>
      <c r="E280" s="31"/>
    </row>
    <row r="281" spans="2:5" ht="12.75" customHeight="1" x14ac:dyDescent="0.35">
      <c r="B281" s="31"/>
      <c r="D281" s="31"/>
      <c r="E281" s="31"/>
    </row>
    <row r="282" spans="2:5" ht="12.75" customHeight="1" x14ac:dyDescent="0.35">
      <c r="B282" s="31"/>
      <c r="D282" s="31"/>
      <c r="E282" s="31"/>
    </row>
    <row r="283" spans="2:5" ht="12.75" customHeight="1" x14ac:dyDescent="0.35">
      <c r="B283" s="31"/>
      <c r="D283" s="31"/>
      <c r="E283" s="31"/>
    </row>
    <row r="284" spans="2:5" ht="12.75" customHeight="1" x14ac:dyDescent="0.35">
      <c r="B284" s="31"/>
      <c r="D284" s="31"/>
      <c r="E284" s="31"/>
    </row>
    <row r="285" spans="2:5" ht="12.75" customHeight="1" x14ac:dyDescent="0.35">
      <c r="B285" s="31"/>
      <c r="D285" s="31"/>
      <c r="E285" s="31"/>
    </row>
    <row r="286" spans="2:5" ht="12.75" customHeight="1" x14ac:dyDescent="0.35">
      <c r="B286" s="31"/>
      <c r="D286" s="31"/>
      <c r="E286" s="31"/>
    </row>
    <row r="287" spans="2:5" ht="12.75" customHeight="1" x14ac:dyDescent="0.35">
      <c r="B287" s="31"/>
      <c r="D287" s="31"/>
      <c r="E287" s="31"/>
    </row>
    <row r="288" spans="2:5" ht="12.75" customHeight="1" x14ac:dyDescent="0.35">
      <c r="B288" s="31"/>
      <c r="D288" s="31"/>
      <c r="E288" s="31"/>
    </row>
    <row r="289" spans="2:5" ht="12.75" customHeight="1" x14ac:dyDescent="0.35">
      <c r="B289" s="31"/>
      <c r="D289" s="31"/>
      <c r="E289" s="31"/>
    </row>
    <row r="290" spans="2:5" ht="12.75" customHeight="1" x14ac:dyDescent="0.35">
      <c r="B290" s="31"/>
      <c r="D290" s="31"/>
      <c r="E290" s="31"/>
    </row>
    <row r="291" spans="2:5" ht="12.75" customHeight="1" x14ac:dyDescent="0.35">
      <c r="B291" s="31"/>
      <c r="D291" s="31"/>
      <c r="E291" s="31"/>
    </row>
    <row r="292" spans="2:5" ht="12.75" customHeight="1" x14ac:dyDescent="0.35">
      <c r="B292" s="31"/>
      <c r="D292" s="31"/>
      <c r="E292" s="31"/>
    </row>
    <row r="293" spans="2:5" ht="12.75" customHeight="1" x14ac:dyDescent="0.35">
      <c r="B293" s="31"/>
      <c r="D293" s="31"/>
      <c r="E293" s="31"/>
    </row>
    <row r="294" spans="2:5" ht="12.75" customHeight="1" x14ac:dyDescent="0.35">
      <c r="B294" s="31"/>
      <c r="D294" s="31"/>
      <c r="E294" s="31"/>
    </row>
    <row r="295" spans="2:5" ht="12.75" customHeight="1" x14ac:dyDescent="0.35">
      <c r="B295" s="31"/>
      <c r="D295" s="31"/>
      <c r="E295" s="31"/>
    </row>
    <row r="296" spans="2:5" ht="12.75" customHeight="1" x14ac:dyDescent="0.35">
      <c r="B296" s="31"/>
      <c r="D296" s="31"/>
      <c r="E296" s="31"/>
    </row>
    <row r="297" spans="2:5" ht="12.75" customHeight="1" x14ac:dyDescent="0.35">
      <c r="B297" s="31"/>
      <c r="D297" s="31"/>
      <c r="E297" s="31"/>
    </row>
    <row r="298" spans="2:5" ht="12.75" customHeight="1" x14ac:dyDescent="0.35">
      <c r="B298" s="31"/>
      <c r="D298" s="31"/>
      <c r="E298" s="31"/>
    </row>
    <row r="299" spans="2:5" ht="12.75" customHeight="1" x14ac:dyDescent="0.35">
      <c r="B299" s="31"/>
      <c r="D299" s="31"/>
      <c r="E299" s="31"/>
    </row>
    <row r="300" spans="2:5" ht="12.75" customHeight="1" x14ac:dyDescent="0.35">
      <c r="B300" s="31"/>
      <c r="D300" s="31"/>
      <c r="E300" s="31"/>
    </row>
    <row r="301" spans="2:5" ht="12.75" customHeight="1" x14ac:dyDescent="0.35">
      <c r="B301" s="31"/>
      <c r="D301" s="31"/>
      <c r="E301" s="31"/>
    </row>
    <row r="302" spans="2:5" ht="12.75" customHeight="1" x14ac:dyDescent="0.35">
      <c r="B302" s="31"/>
      <c r="D302" s="31"/>
      <c r="E302" s="31"/>
    </row>
    <row r="303" spans="2:5" ht="12.75" customHeight="1" x14ac:dyDescent="0.35">
      <c r="B303" s="31"/>
      <c r="D303" s="31"/>
      <c r="E303" s="31"/>
    </row>
  </sheetData>
  <sheetProtection algorithmName="SHA-512" hashValue="x4H13BiWS4SiVc0x5Qe0YYxDyFZ7Bod8wsG2kBd3OtSGSrA6qV4yTEOxlvBBEguweQ3RVptVZ21XMra7Tbzq0A==" saltValue="MJ6sKUzfLsZEmQPE7E8GGw==" spinCount="100000" sheet="1" objects="1" scenarios="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B55E0-E3FB-4201-83D0-8CC69E802C61}">
  <sheetPr codeName="Sheet13"/>
  <dimension ref="B1:W303"/>
  <sheetViews>
    <sheetView workbookViewId="0">
      <selection activeCell="K1" sqref="K1"/>
    </sheetView>
  </sheetViews>
  <sheetFormatPr defaultRowHeight="12.75" x14ac:dyDescent="0.35"/>
  <cols>
    <col min="2" max="2" width="43.86328125" bestFit="1" customWidth="1"/>
    <col min="3" max="3" width="12.265625" style="31" hidden="1" customWidth="1"/>
    <col min="4" max="4" width="13.06640625" hidden="1" customWidth="1"/>
    <col min="5" max="5" width="13.06640625" style="34" hidden="1" customWidth="1"/>
    <col min="6" max="6" width="13.06640625" style="69" hidden="1" customWidth="1"/>
    <col min="7" max="8" width="12" hidden="1" customWidth="1"/>
    <col min="9" max="11" width="9.796875" bestFit="1" customWidth="1"/>
    <col min="12" max="12" width="11.06640625" bestFit="1" customWidth="1"/>
    <col min="14" max="16" width="9.796875" bestFit="1" customWidth="1"/>
    <col min="17" max="17" width="11.06640625" bestFit="1" customWidth="1"/>
    <col min="19" max="21" width="9.796875" bestFit="1" customWidth="1"/>
    <col min="22" max="22" width="11.06640625" bestFit="1" customWidth="1"/>
    <col min="23" max="23" width="63.796875" customWidth="1"/>
  </cols>
  <sheetData>
    <row r="1" spans="2:23" ht="12.75" customHeight="1" x14ac:dyDescent="0.35">
      <c r="B1" s="145" t="s">
        <v>308</v>
      </c>
      <c r="C1" s="76"/>
      <c r="D1" s="52"/>
      <c r="E1" s="52"/>
      <c r="F1" s="68"/>
    </row>
    <row r="2" spans="2:23" ht="12.75" customHeight="1" x14ac:dyDescent="0.35">
      <c r="B2" s="52"/>
      <c r="C2" s="76"/>
      <c r="D2" s="52"/>
      <c r="E2" s="52"/>
      <c r="F2" s="68"/>
    </row>
    <row r="3" spans="2:23" ht="12.75" customHeight="1" x14ac:dyDescent="0.35">
      <c r="B3" s="52"/>
      <c r="C3" s="76"/>
      <c r="D3" s="52"/>
      <c r="E3" s="52"/>
      <c r="F3" s="68"/>
    </row>
    <row r="4" spans="2:23" ht="12.75" customHeight="1" x14ac:dyDescent="0.35">
      <c r="B4" s="52"/>
      <c r="C4" s="76"/>
      <c r="D4" s="52"/>
      <c r="E4" s="52"/>
      <c r="F4" s="68"/>
    </row>
    <row r="5" spans="2:23" ht="12.75" customHeight="1" x14ac:dyDescent="0.35">
      <c r="B5" s="52"/>
      <c r="C5" s="76"/>
      <c r="D5" s="52"/>
      <c r="E5" s="52"/>
      <c r="F5" s="68"/>
    </row>
    <row r="6" spans="2:23" ht="15.4" customHeight="1" thickBot="1" x14ac:dyDescent="0.4">
      <c r="B6" s="136"/>
      <c r="C6" s="76"/>
      <c r="D6" s="52"/>
      <c r="E6" s="52"/>
      <c r="F6" s="68"/>
    </row>
    <row r="7" spans="2:23" ht="12.75" customHeight="1" thickTop="1" x14ac:dyDescent="0.35">
      <c r="I7" s="202" t="s">
        <v>294</v>
      </c>
      <c r="J7" s="207"/>
      <c r="K7" s="188"/>
      <c r="L7" s="189"/>
      <c r="N7" s="202" t="s">
        <v>224</v>
      </c>
      <c r="O7" s="236" t="str">
        <f>B1</f>
        <v>Option H</v>
      </c>
      <c r="P7" s="188"/>
      <c r="Q7" s="189"/>
      <c r="S7" s="202" t="s">
        <v>295</v>
      </c>
      <c r="T7" s="207"/>
      <c r="U7" s="188"/>
      <c r="V7" s="189"/>
    </row>
    <row r="8" spans="2:23" ht="12.75" customHeight="1" x14ac:dyDescent="0.35">
      <c r="C8" s="77"/>
      <c r="F8" s="144" t="s">
        <v>140</v>
      </c>
      <c r="G8" s="144" t="s">
        <v>140</v>
      </c>
      <c r="I8" s="208"/>
      <c r="J8" s="209"/>
      <c r="K8" s="190" t="s">
        <v>140</v>
      </c>
      <c r="L8" s="191" t="s">
        <v>140</v>
      </c>
      <c r="N8" s="208"/>
      <c r="O8" s="209"/>
      <c r="P8" s="190" t="s">
        <v>140</v>
      </c>
      <c r="Q8" s="191" t="s">
        <v>140</v>
      </c>
      <c r="S8" s="208"/>
      <c r="T8" s="209"/>
      <c r="U8" s="190" t="s">
        <v>140</v>
      </c>
      <c r="V8" s="191" t="s">
        <v>140</v>
      </c>
    </row>
    <row r="9" spans="2:23" ht="12.75" customHeight="1" thickBot="1" x14ac:dyDescent="0.4">
      <c r="B9" s="4"/>
      <c r="C9" s="78"/>
      <c r="D9" s="47">
        <v>43983</v>
      </c>
      <c r="E9" s="46">
        <v>44348</v>
      </c>
      <c r="F9" s="70">
        <v>44713</v>
      </c>
      <c r="G9" s="130" t="s">
        <v>238</v>
      </c>
      <c r="I9" s="192">
        <v>43983</v>
      </c>
      <c r="J9" s="193">
        <v>44348</v>
      </c>
      <c r="K9" s="194">
        <v>44713</v>
      </c>
      <c r="L9" s="195" t="s">
        <v>238</v>
      </c>
      <c r="N9" s="192">
        <v>43983</v>
      </c>
      <c r="O9" s="193">
        <v>44348</v>
      </c>
      <c r="P9" s="194">
        <v>44713</v>
      </c>
      <c r="Q9" s="195" t="s">
        <v>238</v>
      </c>
      <c r="S9" s="192">
        <v>43983</v>
      </c>
      <c r="T9" s="193">
        <v>44348</v>
      </c>
      <c r="U9" s="194">
        <v>44713</v>
      </c>
      <c r="V9" s="195" t="s">
        <v>238</v>
      </c>
    </row>
    <row r="10" spans="2:23" ht="12.75" customHeight="1" thickTop="1" thickBot="1" x14ac:dyDescent="0.4">
      <c r="C10" s="79"/>
      <c r="D10" s="9" t="s">
        <v>223</v>
      </c>
      <c r="E10" s="44" t="s">
        <v>131</v>
      </c>
      <c r="F10" s="9" t="s">
        <v>131</v>
      </c>
      <c r="G10" s="9" t="s">
        <v>131</v>
      </c>
      <c r="I10" s="203" t="s">
        <v>223</v>
      </c>
      <c r="J10" s="204" t="s">
        <v>131</v>
      </c>
      <c r="K10" s="205" t="s">
        <v>131</v>
      </c>
      <c r="L10" s="206" t="s">
        <v>131</v>
      </c>
      <c r="N10" s="203" t="s">
        <v>223</v>
      </c>
      <c r="O10" s="204" t="s">
        <v>131</v>
      </c>
      <c r="P10" s="205" t="s">
        <v>131</v>
      </c>
      <c r="Q10" s="206" t="s">
        <v>131</v>
      </c>
      <c r="S10" s="203" t="s">
        <v>223</v>
      </c>
      <c r="T10" s="204" t="s">
        <v>131</v>
      </c>
      <c r="U10" s="205" t="s">
        <v>131</v>
      </c>
      <c r="V10" s="225" t="s">
        <v>131</v>
      </c>
      <c r="W10" s="233" t="s">
        <v>297</v>
      </c>
    </row>
    <row r="11" spans="2:23" ht="12.75" customHeight="1" thickTop="1" x14ac:dyDescent="0.35">
      <c r="B11" s="3" t="s">
        <v>3</v>
      </c>
      <c r="G11" s="129"/>
      <c r="I11" s="210"/>
      <c r="J11" s="211"/>
      <c r="K11" s="211"/>
      <c r="L11" s="212"/>
      <c r="N11" s="210"/>
      <c r="O11" s="211"/>
      <c r="P11" s="211"/>
      <c r="Q11" s="212"/>
      <c r="S11" s="210"/>
      <c r="T11" s="211"/>
      <c r="U11" s="211"/>
      <c r="V11" s="226"/>
      <c r="W11" s="234"/>
    </row>
    <row r="12" spans="2:23" ht="12.75" customHeight="1" x14ac:dyDescent="0.35">
      <c r="B12" s="3" t="s">
        <v>4</v>
      </c>
      <c r="C12" s="81"/>
      <c r="D12" s="103">
        <v>45700</v>
      </c>
      <c r="E12" s="103">
        <v>36700</v>
      </c>
      <c r="F12" s="103">
        <v>36700</v>
      </c>
      <c r="G12" s="103">
        <f>'BASE - Pre CV-19'!O19</f>
        <v>23700</v>
      </c>
      <c r="I12" s="196">
        <f>D12</f>
        <v>45700</v>
      </c>
      <c r="J12" s="197">
        <f t="shared" ref="J12:L12" si="0">E12</f>
        <v>36700</v>
      </c>
      <c r="K12" s="197">
        <f t="shared" si="0"/>
        <v>36700</v>
      </c>
      <c r="L12" s="198">
        <f t="shared" si="0"/>
        <v>23700</v>
      </c>
      <c r="M12" s="138"/>
      <c r="N12" s="196">
        <f>D13</f>
        <v>33984</v>
      </c>
      <c r="O12" s="197">
        <f t="shared" ref="O12:Q12" si="1">E13</f>
        <v>27500</v>
      </c>
      <c r="P12" s="197">
        <f t="shared" si="1"/>
        <v>27500</v>
      </c>
      <c r="Q12" s="198">
        <f t="shared" si="1"/>
        <v>23700</v>
      </c>
      <c r="R12" s="138"/>
      <c r="S12" s="196">
        <f>N12-I12</f>
        <v>-11716</v>
      </c>
      <c r="T12" s="197">
        <f t="shared" ref="T12:V12" si="2">O12-J12</f>
        <v>-9200</v>
      </c>
      <c r="U12" s="197">
        <f t="shared" si="2"/>
        <v>-9200</v>
      </c>
      <c r="V12" s="227">
        <f t="shared" si="2"/>
        <v>0</v>
      </c>
      <c r="W12" s="234" t="s">
        <v>298</v>
      </c>
    </row>
    <row r="13" spans="2:23" ht="12.75" customHeight="1" x14ac:dyDescent="0.35">
      <c r="C13" s="100" t="s">
        <v>224</v>
      </c>
      <c r="D13" s="104">
        <v>33984</v>
      </c>
      <c r="E13" s="105">
        <v>27500</v>
      </c>
      <c r="F13" s="104">
        <v>27500</v>
      </c>
      <c r="G13" s="104">
        <f>G12</f>
        <v>23700</v>
      </c>
      <c r="I13" s="213"/>
      <c r="J13" s="214"/>
      <c r="K13" s="214"/>
      <c r="L13" s="215"/>
      <c r="N13" s="213"/>
      <c r="O13" s="214"/>
      <c r="P13" s="214"/>
      <c r="Q13" s="215"/>
      <c r="S13" s="213"/>
      <c r="T13" s="214"/>
      <c r="U13" s="214"/>
      <c r="V13" s="228"/>
      <c r="W13" s="234"/>
    </row>
    <row r="14" spans="2:23" ht="12.75" customHeight="1" x14ac:dyDescent="0.35">
      <c r="B14" s="3" t="s">
        <v>10</v>
      </c>
      <c r="D14" s="106"/>
      <c r="E14" s="107"/>
      <c r="F14" s="108"/>
      <c r="I14" s="210"/>
      <c r="J14" s="211"/>
      <c r="K14" s="211"/>
      <c r="L14" s="211"/>
      <c r="N14" s="210"/>
      <c r="O14" s="211"/>
      <c r="P14" s="211"/>
      <c r="Q14" s="211"/>
      <c r="S14" s="210"/>
      <c r="T14" s="211"/>
      <c r="U14" s="211"/>
      <c r="V14" s="226"/>
      <c r="W14" s="234"/>
    </row>
    <row r="15" spans="2:23" ht="12.75" customHeight="1" x14ac:dyDescent="0.35">
      <c r="B15" s="3" t="s">
        <v>11</v>
      </c>
      <c r="D15" s="103">
        <v>181992.66750000001</v>
      </c>
      <c r="E15" s="103">
        <v>191092.30087500002</v>
      </c>
      <c r="F15" s="103">
        <v>200646.91591875005</v>
      </c>
      <c r="G15" s="103">
        <f>'BASE - Pre CV-19'!O31</f>
        <v>210679.26171468751</v>
      </c>
      <c r="I15" s="196">
        <f>D15</f>
        <v>181992.66750000001</v>
      </c>
      <c r="J15" s="197">
        <f t="shared" ref="J15:L15" si="3">E15</f>
        <v>191092.30087500002</v>
      </c>
      <c r="K15" s="197">
        <f t="shared" si="3"/>
        <v>200646.91591875005</v>
      </c>
      <c r="L15" s="198">
        <f t="shared" si="3"/>
        <v>210679.26171468751</v>
      </c>
      <c r="M15" s="138"/>
      <c r="N15" s="196">
        <f>D16</f>
        <v>192659</v>
      </c>
      <c r="O15" s="197">
        <f t="shared" ref="O15:Q15" si="4">E16</f>
        <v>181537.68583125001</v>
      </c>
      <c r="P15" s="197">
        <f t="shared" si="4"/>
        <v>190614.57012281253</v>
      </c>
      <c r="Q15" s="198">
        <f t="shared" si="4"/>
        <v>200145.29862895314</v>
      </c>
      <c r="R15" s="138"/>
      <c r="S15" s="196">
        <f>N15-I15</f>
        <v>10666.33249999999</v>
      </c>
      <c r="T15" s="197">
        <f t="shared" ref="T15:V15" si="5">O15-J15</f>
        <v>-9554.6150437500037</v>
      </c>
      <c r="U15" s="197">
        <f t="shared" si="5"/>
        <v>-10032.345795937523</v>
      </c>
      <c r="V15" s="227">
        <f t="shared" si="5"/>
        <v>-10533.963085734373</v>
      </c>
      <c r="W15" s="234" t="s">
        <v>325</v>
      </c>
    </row>
    <row r="16" spans="2:23" ht="12.75" customHeight="1" x14ac:dyDescent="0.35">
      <c r="C16" s="100" t="s">
        <v>224</v>
      </c>
      <c r="D16" s="105">
        <v>192659</v>
      </c>
      <c r="E16" s="105">
        <f>E15*0.95</f>
        <v>181537.68583125001</v>
      </c>
      <c r="F16" s="105">
        <f>F15*0.95</f>
        <v>190614.57012281253</v>
      </c>
      <c r="G16" s="105">
        <f>G15*0.95</f>
        <v>200145.29862895314</v>
      </c>
      <c r="I16" s="216"/>
      <c r="J16" s="217"/>
      <c r="K16" s="217"/>
      <c r="L16" s="218"/>
      <c r="M16" s="138"/>
      <c r="N16" s="216"/>
      <c r="O16" s="217"/>
      <c r="P16" s="217"/>
      <c r="Q16" s="218"/>
      <c r="R16" s="138"/>
      <c r="S16" s="216"/>
      <c r="T16" s="217"/>
      <c r="U16" s="217"/>
      <c r="V16" s="229"/>
      <c r="W16" s="234"/>
    </row>
    <row r="17" spans="2:23" ht="12.75" customHeight="1" x14ac:dyDescent="0.35">
      <c r="B17" s="3" t="s">
        <v>19</v>
      </c>
      <c r="C17" s="81"/>
      <c r="D17" s="103">
        <v>274023.0999545455</v>
      </c>
      <c r="E17" s="103">
        <v>287724.25495227281</v>
      </c>
      <c r="F17" s="103">
        <v>302110.46769988647</v>
      </c>
      <c r="G17" s="103">
        <f>'BASE - Pre CV-19'!O39</f>
        <v>290842.64897795231</v>
      </c>
      <c r="H17" s="133"/>
      <c r="I17" s="196">
        <f>D17</f>
        <v>274023.0999545455</v>
      </c>
      <c r="J17" s="197">
        <f t="shared" ref="J17:L17" si="6">E17</f>
        <v>287724.25495227281</v>
      </c>
      <c r="K17" s="197">
        <f t="shared" si="6"/>
        <v>302110.46769988647</v>
      </c>
      <c r="L17" s="198">
        <f t="shared" si="6"/>
        <v>290842.64897795231</v>
      </c>
      <c r="M17" s="138"/>
      <c r="N17" s="196">
        <f>D18</f>
        <v>258682</v>
      </c>
      <c r="O17" s="197">
        <f t="shared" ref="O17:Q17" si="7">E18</f>
        <v>143862.1274761364</v>
      </c>
      <c r="P17" s="197">
        <f t="shared" si="7"/>
        <v>151055.23384994324</v>
      </c>
      <c r="Q17" s="198">
        <f t="shared" si="7"/>
        <v>145421.32448897616</v>
      </c>
      <c r="R17" s="138"/>
      <c r="S17" s="196">
        <f>N17-I17</f>
        <v>-15341.099954545498</v>
      </c>
      <c r="T17" s="197">
        <f t="shared" ref="T17:V17" si="8">O17-J17</f>
        <v>-143862.1274761364</v>
      </c>
      <c r="U17" s="197">
        <f t="shared" si="8"/>
        <v>-151055.23384994324</v>
      </c>
      <c r="V17" s="227">
        <f t="shared" si="8"/>
        <v>-145421.32448897616</v>
      </c>
      <c r="W17" s="234" t="s">
        <v>326</v>
      </c>
    </row>
    <row r="18" spans="2:23" ht="12.75" customHeight="1" x14ac:dyDescent="0.35">
      <c r="C18" s="100" t="s">
        <v>224</v>
      </c>
      <c r="D18" s="104">
        <v>258682</v>
      </c>
      <c r="E18" s="105">
        <f>E17*0.5</f>
        <v>143862.1274761364</v>
      </c>
      <c r="F18" s="105">
        <f>F17*0.5</f>
        <v>151055.23384994324</v>
      </c>
      <c r="G18" s="105">
        <f>G17*0.5</f>
        <v>145421.32448897616</v>
      </c>
      <c r="I18" s="213"/>
      <c r="J18" s="214"/>
      <c r="K18" s="214"/>
      <c r="L18" s="215"/>
      <c r="N18" s="213"/>
      <c r="O18" s="214"/>
      <c r="P18" s="214"/>
      <c r="Q18" s="215"/>
      <c r="S18" s="213"/>
      <c r="T18" s="214"/>
      <c r="U18" s="214"/>
      <c r="V18" s="228"/>
      <c r="W18" s="234"/>
    </row>
    <row r="19" spans="2:23" ht="12.75" customHeight="1" thickBot="1" x14ac:dyDescent="0.4">
      <c r="B19" s="6" t="s">
        <v>27</v>
      </c>
      <c r="C19" s="82"/>
      <c r="D19" s="103">
        <f>D17+D15</f>
        <v>456015.76745454548</v>
      </c>
      <c r="E19" s="103">
        <f>E17+E15</f>
        <v>478816.55582727282</v>
      </c>
      <c r="F19" s="103">
        <f>F17+F15</f>
        <v>502757.38361863652</v>
      </c>
      <c r="G19" s="103">
        <f>G17+G15</f>
        <v>501521.91069263982</v>
      </c>
      <c r="I19" s="196">
        <f>D19</f>
        <v>456015.76745454548</v>
      </c>
      <c r="J19" s="197">
        <f t="shared" ref="J19:L19" si="9">E19</f>
        <v>478816.55582727282</v>
      </c>
      <c r="K19" s="197">
        <f t="shared" si="9"/>
        <v>502757.38361863652</v>
      </c>
      <c r="L19" s="198">
        <f t="shared" si="9"/>
        <v>501521.91069263982</v>
      </c>
      <c r="M19" s="138"/>
      <c r="N19" s="196">
        <f>D20</f>
        <v>451341</v>
      </c>
      <c r="O19" s="197">
        <f t="shared" ref="O19:Q19" si="10">E20</f>
        <v>325399.81330738642</v>
      </c>
      <c r="P19" s="197">
        <f t="shared" si="10"/>
        <v>341669.80397275579</v>
      </c>
      <c r="Q19" s="198">
        <f t="shared" si="10"/>
        <v>345566.62311792932</v>
      </c>
      <c r="R19" s="138"/>
      <c r="S19" s="196">
        <f>N19-I19</f>
        <v>-4674.7674545454793</v>
      </c>
      <c r="T19" s="197">
        <f t="shared" ref="T19:V19" si="11">O19-J19</f>
        <v>-153416.74251988641</v>
      </c>
      <c r="U19" s="197">
        <f t="shared" si="11"/>
        <v>-161087.57964588073</v>
      </c>
      <c r="V19" s="227">
        <f t="shared" si="11"/>
        <v>-155955.2875747105</v>
      </c>
      <c r="W19" s="234"/>
    </row>
    <row r="20" spans="2:23" ht="12.75" customHeight="1" thickTop="1" x14ac:dyDescent="0.35">
      <c r="C20" s="100" t="s">
        <v>224</v>
      </c>
      <c r="D20" s="105">
        <f>D18+D16</f>
        <v>451341</v>
      </c>
      <c r="E20" s="105">
        <f>E18+E16</f>
        <v>325399.81330738642</v>
      </c>
      <c r="F20" s="105">
        <f>F18+F16</f>
        <v>341669.80397275579</v>
      </c>
      <c r="G20" s="105">
        <f>G18+G16</f>
        <v>345566.62311792932</v>
      </c>
      <c r="I20" s="216"/>
      <c r="J20" s="217"/>
      <c r="K20" s="217"/>
      <c r="L20" s="218"/>
      <c r="M20" s="138"/>
      <c r="N20" s="216"/>
      <c r="O20" s="217"/>
      <c r="P20" s="217"/>
      <c r="Q20" s="218"/>
      <c r="R20" s="138"/>
      <c r="S20" s="216"/>
      <c r="T20" s="217"/>
      <c r="U20" s="217"/>
      <c r="V20" s="229"/>
      <c r="W20" s="234"/>
    </row>
    <row r="21" spans="2:23" ht="12.75" hidden="1" customHeight="1" x14ac:dyDescent="0.35">
      <c r="B21" s="1" t="s">
        <v>34</v>
      </c>
      <c r="C21" s="80"/>
      <c r="D21" s="101"/>
      <c r="E21" s="109"/>
      <c r="F21" s="101"/>
      <c r="I21" s="196"/>
      <c r="J21" s="197"/>
      <c r="K21" s="197"/>
      <c r="L21" s="198"/>
      <c r="M21" s="138"/>
      <c r="N21" s="196"/>
      <c r="O21" s="197"/>
      <c r="P21" s="197"/>
      <c r="Q21" s="198"/>
      <c r="R21" s="138"/>
      <c r="S21" s="196"/>
      <c r="T21" s="197"/>
      <c r="U21" s="197"/>
      <c r="V21" s="227"/>
      <c r="W21" s="234"/>
    </row>
    <row r="22" spans="2:23" ht="12.75" customHeight="1" x14ac:dyDescent="0.35">
      <c r="B22" s="3" t="s">
        <v>28</v>
      </c>
      <c r="C22" s="83"/>
      <c r="D22" s="103">
        <v>105480</v>
      </c>
      <c r="E22" s="103">
        <v>110754</v>
      </c>
      <c r="F22" s="103">
        <v>110754</v>
      </c>
      <c r="G22" s="103">
        <f>'BASE - Pre CV-19'!O50</f>
        <v>116291.7</v>
      </c>
      <c r="I22" s="196">
        <f>D22</f>
        <v>105480</v>
      </c>
      <c r="J22" s="197">
        <f t="shared" ref="J22:L22" si="12">E22</f>
        <v>110754</v>
      </c>
      <c r="K22" s="197">
        <f t="shared" si="12"/>
        <v>110754</v>
      </c>
      <c r="L22" s="198">
        <f t="shared" si="12"/>
        <v>116291.7</v>
      </c>
      <c r="M22" s="138"/>
      <c r="N22" s="196">
        <f>D23</f>
        <v>112410</v>
      </c>
      <c r="O22" s="197">
        <f t="shared" ref="O22:Q22" si="13">E23</f>
        <v>105216.29999999999</v>
      </c>
      <c r="P22" s="197">
        <f t="shared" si="13"/>
        <v>105216.29999999999</v>
      </c>
      <c r="Q22" s="198">
        <f t="shared" si="13"/>
        <v>110477.11499999999</v>
      </c>
      <c r="R22" s="138"/>
      <c r="S22" s="196">
        <f>N22-I22</f>
        <v>6930</v>
      </c>
      <c r="T22" s="197">
        <f t="shared" ref="T22:V22" si="14">O22-J22</f>
        <v>-5537.7000000000116</v>
      </c>
      <c r="U22" s="197">
        <f t="shared" si="14"/>
        <v>-5537.7000000000116</v>
      </c>
      <c r="V22" s="227">
        <f t="shared" si="14"/>
        <v>-5814.5850000000064</v>
      </c>
      <c r="W22" s="234"/>
    </row>
    <row r="23" spans="2:23" ht="12.75" customHeight="1" x14ac:dyDescent="0.35">
      <c r="C23" s="100" t="s">
        <v>224</v>
      </c>
      <c r="D23" s="105">
        <v>112410</v>
      </c>
      <c r="E23" s="105">
        <f>E22*0.95</f>
        <v>105216.29999999999</v>
      </c>
      <c r="F23" s="105">
        <f t="shared" ref="F23:G23" si="15">F22*0.95</f>
        <v>105216.29999999999</v>
      </c>
      <c r="G23" s="105">
        <f t="shared" si="15"/>
        <v>110477.11499999999</v>
      </c>
      <c r="I23" s="216"/>
      <c r="J23" s="217"/>
      <c r="K23" s="217"/>
      <c r="L23" s="218"/>
      <c r="M23" s="138"/>
      <c r="N23" s="216"/>
      <c r="O23" s="217"/>
      <c r="P23" s="217"/>
      <c r="Q23" s="218"/>
      <c r="R23" s="138"/>
      <c r="S23" s="216"/>
      <c r="T23" s="217"/>
      <c r="U23" s="217"/>
      <c r="V23" s="229"/>
      <c r="W23" s="234"/>
    </row>
    <row r="24" spans="2:23" ht="12.75" customHeight="1" thickBot="1" x14ac:dyDescent="0.4">
      <c r="B24" s="6" t="s">
        <v>36</v>
      </c>
      <c r="C24" s="85"/>
      <c r="D24" s="103">
        <f>D22+D19</f>
        <v>561495.76745454548</v>
      </c>
      <c r="E24" s="103">
        <f>E22+E19</f>
        <v>589570.55582727282</v>
      </c>
      <c r="F24" s="103">
        <f>F22+F19</f>
        <v>613511.38361863652</v>
      </c>
      <c r="G24" s="103">
        <f>G22+G19</f>
        <v>617813.61069263984</v>
      </c>
      <c r="I24" s="196">
        <f>D24</f>
        <v>561495.76745454548</v>
      </c>
      <c r="J24" s="197">
        <f t="shared" ref="J24:L24" si="16">E24</f>
        <v>589570.55582727282</v>
      </c>
      <c r="K24" s="197">
        <f t="shared" si="16"/>
        <v>613511.38361863652</v>
      </c>
      <c r="L24" s="198">
        <f t="shared" si="16"/>
        <v>617813.61069263984</v>
      </c>
      <c r="M24" s="138"/>
      <c r="N24" s="196">
        <f>D25</f>
        <v>563751</v>
      </c>
      <c r="O24" s="197">
        <f t="shared" ref="O24:Q24" si="17">E25</f>
        <v>430616.1133073864</v>
      </c>
      <c r="P24" s="197">
        <f t="shared" si="17"/>
        <v>446886.10397275578</v>
      </c>
      <c r="Q24" s="198">
        <f t="shared" si="17"/>
        <v>456043.73811792932</v>
      </c>
      <c r="R24" s="138"/>
      <c r="S24" s="196">
        <f>N24-I24</f>
        <v>2255.2325454545207</v>
      </c>
      <c r="T24" s="197">
        <f t="shared" ref="T24:V24" si="18">O24-J24</f>
        <v>-158954.44251988642</v>
      </c>
      <c r="U24" s="197">
        <f t="shared" si="18"/>
        <v>-166625.27964588074</v>
      </c>
      <c r="V24" s="227">
        <f t="shared" si="18"/>
        <v>-161769.87257471052</v>
      </c>
      <c r="W24" s="234" t="s">
        <v>327</v>
      </c>
    </row>
    <row r="25" spans="2:23" ht="12.75" customHeight="1" thickTop="1" x14ac:dyDescent="0.35">
      <c r="C25" s="100" t="s">
        <v>224</v>
      </c>
      <c r="D25" s="105">
        <f>D23+D20</f>
        <v>563751</v>
      </c>
      <c r="E25" s="105">
        <f>E23+E20</f>
        <v>430616.1133073864</v>
      </c>
      <c r="F25" s="105">
        <f>F23+F20</f>
        <v>446886.10397275578</v>
      </c>
      <c r="G25" s="105">
        <f>G23+G20</f>
        <v>456043.73811792932</v>
      </c>
      <c r="I25" s="216"/>
      <c r="J25" s="217"/>
      <c r="K25" s="217"/>
      <c r="L25" s="218"/>
      <c r="M25" s="138"/>
      <c r="N25" s="216"/>
      <c r="O25" s="217"/>
      <c r="P25" s="217"/>
      <c r="Q25" s="218"/>
      <c r="R25" s="138"/>
      <c r="S25" s="216"/>
      <c r="T25" s="217"/>
      <c r="U25" s="217"/>
      <c r="V25" s="229"/>
      <c r="W25" s="234"/>
    </row>
    <row r="26" spans="2:23" ht="12.75" customHeight="1" x14ac:dyDescent="0.35">
      <c r="B26" s="3" t="s">
        <v>37</v>
      </c>
      <c r="D26" s="106"/>
      <c r="E26" s="107"/>
      <c r="F26" s="108"/>
      <c r="I26" s="222"/>
      <c r="J26" s="223"/>
      <c r="K26" s="223"/>
      <c r="L26" s="224"/>
      <c r="M26" s="138"/>
      <c r="N26" s="222"/>
      <c r="O26" s="223"/>
      <c r="P26" s="223"/>
      <c r="Q26" s="224"/>
      <c r="R26" s="138"/>
      <c r="S26" s="222"/>
      <c r="T26" s="223"/>
      <c r="U26" s="223"/>
      <c r="V26" s="231"/>
      <c r="W26" s="234"/>
    </row>
    <row r="27" spans="2:23" ht="12.75" customHeight="1" x14ac:dyDescent="0.35">
      <c r="B27" s="1" t="s">
        <v>38</v>
      </c>
      <c r="C27" s="80"/>
      <c r="D27" s="101">
        <v>6300</v>
      </c>
      <c r="E27" s="109">
        <v>7000</v>
      </c>
      <c r="F27" s="101">
        <v>7500</v>
      </c>
      <c r="G27" s="32"/>
      <c r="I27" s="219"/>
      <c r="J27" s="220"/>
      <c r="K27" s="220"/>
      <c r="L27" s="221"/>
      <c r="M27" s="138"/>
      <c r="N27" s="219"/>
      <c r="O27" s="220"/>
      <c r="P27" s="220"/>
      <c r="Q27" s="221"/>
      <c r="R27" s="138"/>
      <c r="S27" s="219"/>
      <c r="T27" s="220"/>
      <c r="U27" s="220"/>
      <c r="V27" s="230"/>
      <c r="W27" s="234"/>
    </row>
    <row r="28" spans="2:23" ht="12.75" customHeight="1" x14ac:dyDescent="0.35">
      <c r="B28" s="5" t="s">
        <v>41</v>
      </c>
      <c r="C28" s="83"/>
      <c r="D28" s="103">
        <v>6300</v>
      </c>
      <c r="E28" s="103">
        <v>7000</v>
      </c>
      <c r="F28" s="103">
        <v>7500</v>
      </c>
      <c r="G28" s="103">
        <f>'BASE - Pre CV-19'!O58</f>
        <v>7650</v>
      </c>
      <c r="I28" s="196">
        <f>D28</f>
        <v>6300</v>
      </c>
      <c r="J28" s="197">
        <f t="shared" ref="J28:L28" si="19">E28</f>
        <v>7000</v>
      </c>
      <c r="K28" s="197">
        <f t="shared" si="19"/>
        <v>7500</v>
      </c>
      <c r="L28" s="198">
        <f t="shared" si="19"/>
        <v>7650</v>
      </c>
      <c r="M28" s="138"/>
      <c r="N28" s="196">
        <f>D29</f>
        <v>10856</v>
      </c>
      <c r="O28" s="197">
        <f t="shared" ref="O28:Q28" si="20">E29</f>
        <v>7000</v>
      </c>
      <c r="P28" s="197">
        <f t="shared" si="20"/>
        <v>7500</v>
      </c>
      <c r="Q28" s="198">
        <f t="shared" si="20"/>
        <v>7650</v>
      </c>
      <c r="R28" s="138"/>
      <c r="S28" s="196">
        <f>N28-I28</f>
        <v>4556</v>
      </c>
      <c r="T28" s="197">
        <f t="shared" ref="T28:V28" si="21">O28-J28</f>
        <v>0</v>
      </c>
      <c r="U28" s="197">
        <f t="shared" si="21"/>
        <v>0</v>
      </c>
      <c r="V28" s="227">
        <f t="shared" si="21"/>
        <v>0</v>
      </c>
      <c r="W28" s="234"/>
    </row>
    <row r="29" spans="2:23" ht="12.75" customHeight="1" x14ac:dyDescent="0.35">
      <c r="C29" s="100" t="s">
        <v>224</v>
      </c>
      <c r="D29" s="105">
        <v>10856</v>
      </c>
      <c r="E29" s="105">
        <v>7000</v>
      </c>
      <c r="F29" s="105">
        <v>7500</v>
      </c>
      <c r="G29" s="105">
        <f>G28</f>
        <v>7650</v>
      </c>
      <c r="I29" s="216"/>
      <c r="J29" s="217"/>
      <c r="K29" s="217"/>
      <c r="L29" s="218"/>
      <c r="M29" s="138"/>
      <c r="N29" s="216"/>
      <c r="O29" s="217"/>
      <c r="P29" s="217"/>
      <c r="Q29" s="218"/>
      <c r="R29" s="138"/>
      <c r="S29" s="216"/>
      <c r="T29" s="217"/>
      <c r="U29" s="217"/>
      <c r="V29" s="229"/>
      <c r="W29" s="234"/>
    </row>
    <row r="30" spans="2:23" ht="12.75" customHeight="1" x14ac:dyDescent="0.35">
      <c r="B30" s="3" t="s">
        <v>42</v>
      </c>
      <c r="C30" s="84"/>
      <c r="D30" s="106"/>
      <c r="E30" s="107"/>
      <c r="F30" s="108"/>
      <c r="I30" s="222"/>
      <c r="J30" s="223"/>
      <c r="K30" s="223"/>
      <c r="L30" s="224"/>
      <c r="M30" s="138"/>
      <c r="N30" s="222"/>
      <c r="O30" s="223"/>
      <c r="P30" s="223"/>
      <c r="Q30" s="224"/>
      <c r="R30" s="138"/>
      <c r="S30" s="222"/>
      <c r="T30" s="223"/>
      <c r="U30" s="223"/>
      <c r="V30" s="231"/>
      <c r="W30" s="234"/>
    </row>
    <row r="31" spans="2:23" ht="12.75" customHeight="1" x14ac:dyDescent="0.35">
      <c r="B31" s="1" t="s">
        <v>44</v>
      </c>
      <c r="C31" s="83"/>
      <c r="D31" s="103">
        <v>34000</v>
      </c>
      <c r="E31" s="103">
        <v>35000</v>
      </c>
      <c r="F31" s="103">
        <v>36000</v>
      </c>
      <c r="G31" s="103">
        <f>'BASE - Pre CV-19'!O64</f>
        <v>38000</v>
      </c>
      <c r="I31" s="196">
        <f>D31</f>
        <v>34000</v>
      </c>
      <c r="J31" s="197">
        <f t="shared" ref="J31:L31" si="22">E31</f>
        <v>35000</v>
      </c>
      <c r="K31" s="197">
        <f t="shared" si="22"/>
        <v>36000</v>
      </c>
      <c r="L31" s="198">
        <f t="shared" si="22"/>
        <v>38000</v>
      </c>
      <c r="M31" s="138"/>
      <c r="N31" s="196">
        <f>D32</f>
        <v>0</v>
      </c>
      <c r="O31" s="197">
        <f t="shared" ref="O31:Q31" si="23">E32</f>
        <v>35000</v>
      </c>
      <c r="P31" s="197">
        <f t="shared" si="23"/>
        <v>36000</v>
      </c>
      <c r="Q31" s="198">
        <f t="shared" si="23"/>
        <v>38000</v>
      </c>
      <c r="R31" s="138"/>
      <c r="S31" s="196">
        <f>N31-I31</f>
        <v>-34000</v>
      </c>
      <c r="T31" s="197">
        <f t="shared" ref="T31:V31" si="24">O31-J31</f>
        <v>0</v>
      </c>
      <c r="U31" s="197">
        <f t="shared" si="24"/>
        <v>0</v>
      </c>
      <c r="V31" s="227">
        <f t="shared" si="24"/>
        <v>0</v>
      </c>
      <c r="W31" s="234"/>
    </row>
    <row r="32" spans="2:23" ht="12.75" customHeight="1" x14ac:dyDescent="0.35">
      <c r="B32" s="290"/>
      <c r="C32" s="100" t="s">
        <v>224</v>
      </c>
      <c r="D32" s="113">
        <v>0</v>
      </c>
      <c r="E32" s="113">
        <v>35000</v>
      </c>
      <c r="F32" s="113">
        <v>36000</v>
      </c>
      <c r="G32" s="105">
        <f>G31</f>
        <v>38000</v>
      </c>
      <c r="I32" s="216"/>
      <c r="J32" s="217"/>
      <c r="K32" s="217"/>
      <c r="L32" s="218"/>
      <c r="M32" s="138"/>
      <c r="N32" s="216"/>
      <c r="O32" s="217"/>
      <c r="P32" s="217"/>
      <c r="Q32" s="218"/>
      <c r="R32" s="138"/>
      <c r="S32" s="216"/>
      <c r="T32" s="217"/>
      <c r="U32" s="217"/>
      <c r="V32" s="229"/>
      <c r="W32" s="234"/>
    </row>
    <row r="33" spans="2:23" ht="12.75" customHeight="1" x14ac:dyDescent="0.35">
      <c r="B33" s="1" t="s">
        <v>47</v>
      </c>
      <c r="C33" s="83"/>
      <c r="D33" s="103">
        <v>97416.709999999992</v>
      </c>
      <c r="E33" s="103">
        <v>0</v>
      </c>
      <c r="F33" s="103">
        <v>103000</v>
      </c>
      <c r="G33" s="103">
        <f>'BASE - Pre CV-19'!O69</f>
        <v>0</v>
      </c>
      <c r="I33" s="196">
        <f>D33</f>
        <v>97416.709999999992</v>
      </c>
      <c r="J33" s="197">
        <f t="shared" ref="J33:L33" si="25">E33</f>
        <v>0</v>
      </c>
      <c r="K33" s="197">
        <f t="shared" si="25"/>
        <v>103000</v>
      </c>
      <c r="L33" s="198">
        <f t="shared" si="25"/>
        <v>0</v>
      </c>
      <c r="M33" s="138"/>
      <c r="N33" s="196">
        <f>D34</f>
        <v>68880</v>
      </c>
      <c r="O33" s="197">
        <f t="shared" ref="O33:Q33" si="26">E34</f>
        <v>0</v>
      </c>
      <c r="P33" s="197">
        <f t="shared" si="26"/>
        <v>103000</v>
      </c>
      <c r="Q33" s="198">
        <f t="shared" si="26"/>
        <v>0</v>
      </c>
      <c r="R33" s="138"/>
      <c r="S33" s="196">
        <f>N33-I33</f>
        <v>-28536.709999999992</v>
      </c>
      <c r="T33" s="197">
        <f t="shared" ref="T33:V33" si="27">O33-J33</f>
        <v>0</v>
      </c>
      <c r="U33" s="197">
        <f t="shared" si="27"/>
        <v>0</v>
      </c>
      <c r="V33" s="227">
        <f t="shared" si="27"/>
        <v>0</v>
      </c>
      <c r="W33" s="234"/>
    </row>
    <row r="34" spans="2:23" ht="12.75" customHeight="1" x14ac:dyDescent="0.35">
      <c r="B34" s="290"/>
      <c r="C34" s="100" t="s">
        <v>224</v>
      </c>
      <c r="D34" s="113">
        <v>68880</v>
      </c>
      <c r="E34" s="113"/>
      <c r="F34" s="113">
        <v>103000</v>
      </c>
      <c r="G34" s="105">
        <f>G33</f>
        <v>0</v>
      </c>
      <c r="I34" s="216"/>
      <c r="J34" s="217"/>
      <c r="K34" s="217"/>
      <c r="L34" s="218"/>
      <c r="M34" s="138"/>
      <c r="N34" s="216"/>
      <c r="O34" s="217"/>
      <c r="P34" s="217"/>
      <c r="Q34" s="218"/>
      <c r="R34" s="138"/>
      <c r="S34" s="216"/>
      <c r="T34" s="217"/>
      <c r="U34" s="217"/>
      <c r="V34" s="229"/>
      <c r="W34" s="234"/>
    </row>
    <row r="35" spans="2:23" ht="12.75" customHeight="1" x14ac:dyDescent="0.35">
      <c r="B35" s="1" t="s">
        <v>51</v>
      </c>
      <c r="C35" s="83"/>
      <c r="D35" s="103">
        <v>0</v>
      </c>
      <c r="E35" s="103">
        <v>127810.85</v>
      </c>
      <c r="F35" s="103"/>
      <c r="G35" s="103">
        <f>'BASE - Pre CV-19'!O74</f>
        <v>133576.39250000002</v>
      </c>
      <c r="I35" s="196">
        <f>D35</f>
        <v>0</v>
      </c>
      <c r="J35" s="197">
        <f t="shared" ref="J35:L35" si="28">E35</f>
        <v>127810.85</v>
      </c>
      <c r="K35" s="197">
        <f t="shared" si="28"/>
        <v>0</v>
      </c>
      <c r="L35" s="198">
        <f t="shared" si="28"/>
        <v>133576.39250000002</v>
      </c>
      <c r="M35" s="138"/>
      <c r="N35" s="196">
        <f>D36</f>
        <v>0</v>
      </c>
      <c r="O35" s="197">
        <f t="shared" ref="O35:Q35" si="29">E36</f>
        <v>0</v>
      </c>
      <c r="P35" s="197">
        <f t="shared" si="29"/>
        <v>127811</v>
      </c>
      <c r="Q35" s="198">
        <f t="shared" si="29"/>
        <v>133576.39250000002</v>
      </c>
      <c r="R35" s="138"/>
      <c r="S35" s="196">
        <f>N35-I35</f>
        <v>0</v>
      </c>
      <c r="T35" s="197">
        <f t="shared" ref="T35:V35" si="30">O35-J35</f>
        <v>-127810.85</v>
      </c>
      <c r="U35" s="197">
        <f t="shared" si="30"/>
        <v>127811</v>
      </c>
      <c r="V35" s="227">
        <f t="shared" si="30"/>
        <v>0</v>
      </c>
      <c r="W35" s="234"/>
    </row>
    <row r="36" spans="2:23" ht="12.75" customHeight="1" x14ac:dyDescent="0.35">
      <c r="B36" s="290"/>
      <c r="C36" s="100" t="s">
        <v>224</v>
      </c>
      <c r="D36" s="113">
        <v>0</v>
      </c>
      <c r="E36" s="113">
        <v>0</v>
      </c>
      <c r="F36" s="113">
        <v>127811</v>
      </c>
      <c r="G36" s="105">
        <f>G35</f>
        <v>133576.39250000002</v>
      </c>
      <c r="I36" s="216"/>
      <c r="J36" s="217"/>
      <c r="K36" s="217"/>
      <c r="L36" s="218"/>
      <c r="M36" s="138"/>
      <c r="N36" s="216"/>
      <c r="O36" s="217"/>
      <c r="P36" s="217"/>
      <c r="Q36" s="218"/>
      <c r="R36" s="138"/>
      <c r="S36" s="216"/>
      <c r="T36" s="217"/>
      <c r="U36" s="217"/>
      <c r="V36" s="229"/>
      <c r="W36" s="234"/>
    </row>
    <row r="37" spans="2:23" ht="12.75" customHeight="1" x14ac:dyDescent="0.35">
      <c r="B37" s="1" t="s">
        <v>55</v>
      </c>
      <c r="C37" s="83"/>
      <c r="D37" s="103">
        <v>0</v>
      </c>
      <c r="E37" s="103">
        <v>201960</v>
      </c>
      <c r="F37" s="103">
        <v>0</v>
      </c>
      <c r="G37" s="103">
        <f>'BASE - Pre CV-19'!O79</f>
        <v>208508.40000000002</v>
      </c>
      <c r="I37" s="196">
        <f>D37</f>
        <v>0</v>
      </c>
      <c r="J37" s="197">
        <f t="shared" ref="J37:L37" si="31">E37</f>
        <v>201960</v>
      </c>
      <c r="K37" s="197">
        <f t="shared" si="31"/>
        <v>0</v>
      </c>
      <c r="L37" s="198">
        <f t="shared" si="31"/>
        <v>208508.40000000002</v>
      </c>
      <c r="M37" s="138"/>
      <c r="N37" s="196">
        <f>D38</f>
        <v>0</v>
      </c>
      <c r="O37" s="197">
        <f t="shared" ref="O37:Q37" si="32">E38</f>
        <v>201960</v>
      </c>
      <c r="P37" s="197">
        <f t="shared" si="32"/>
        <v>0</v>
      </c>
      <c r="Q37" s="198">
        <f t="shared" si="32"/>
        <v>208508.40000000002</v>
      </c>
      <c r="R37" s="138"/>
      <c r="S37" s="196">
        <f>N37-I37</f>
        <v>0</v>
      </c>
      <c r="T37" s="197">
        <f t="shared" ref="T37:V37" si="33">O37-J37</f>
        <v>0</v>
      </c>
      <c r="U37" s="197">
        <f t="shared" si="33"/>
        <v>0</v>
      </c>
      <c r="V37" s="227">
        <f t="shared" si="33"/>
        <v>0</v>
      </c>
      <c r="W37" s="234"/>
    </row>
    <row r="38" spans="2:23" ht="12.75" customHeight="1" x14ac:dyDescent="0.35">
      <c r="B38" s="290"/>
      <c r="C38" s="100" t="s">
        <v>224</v>
      </c>
      <c r="D38" s="113"/>
      <c r="E38" s="113">
        <v>201960</v>
      </c>
      <c r="F38" s="113"/>
      <c r="G38" s="105">
        <f>G37</f>
        <v>208508.40000000002</v>
      </c>
      <c r="I38" s="216"/>
      <c r="J38" s="217"/>
      <c r="K38" s="217"/>
      <c r="L38" s="218"/>
      <c r="M38" s="138"/>
      <c r="N38" s="216"/>
      <c r="O38" s="217"/>
      <c r="P38" s="217"/>
      <c r="Q38" s="218"/>
      <c r="R38" s="138"/>
      <c r="S38" s="216"/>
      <c r="T38" s="217"/>
      <c r="U38" s="217"/>
      <c r="V38" s="229"/>
      <c r="W38" s="234"/>
    </row>
    <row r="39" spans="2:23" ht="12.75" customHeight="1" x14ac:dyDescent="0.35">
      <c r="B39" s="1" t="s">
        <v>59</v>
      </c>
      <c r="C39" s="83"/>
      <c r="D39" s="103">
        <v>135000</v>
      </c>
      <c r="E39" s="103">
        <v>0</v>
      </c>
      <c r="F39" s="103">
        <v>5000</v>
      </c>
      <c r="G39" s="103">
        <f>'BASE - Pre CV-19'!O84</f>
        <v>5000</v>
      </c>
      <c r="I39" s="196">
        <f>D39</f>
        <v>135000</v>
      </c>
      <c r="J39" s="197">
        <f t="shared" ref="J39:L39" si="34">E39</f>
        <v>0</v>
      </c>
      <c r="K39" s="197">
        <f t="shared" si="34"/>
        <v>5000</v>
      </c>
      <c r="L39" s="198">
        <f t="shared" si="34"/>
        <v>5000</v>
      </c>
      <c r="M39" s="138"/>
      <c r="N39" s="196">
        <f>D40</f>
        <v>114827</v>
      </c>
      <c r="O39" s="197">
        <f t="shared" ref="O39:Q39" si="35">E40</f>
        <v>0</v>
      </c>
      <c r="P39" s="197">
        <f t="shared" si="35"/>
        <v>5000</v>
      </c>
      <c r="Q39" s="198">
        <f t="shared" si="35"/>
        <v>5000</v>
      </c>
      <c r="R39" s="138"/>
      <c r="S39" s="196">
        <f>N39-I39</f>
        <v>-20173</v>
      </c>
      <c r="T39" s="197">
        <f t="shared" ref="T39:V39" si="36">O39-J39</f>
        <v>0</v>
      </c>
      <c r="U39" s="197">
        <f t="shared" si="36"/>
        <v>0</v>
      </c>
      <c r="V39" s="227">
        <f t="shared" si="36"/>
        <v>0</v>
      </c>
      <c r="W39" s="234"/>
    </row>
    <row r="40" spans="2:23" ht="12.75" customHeight="1" x14ac:dyDescent="0.35">
      <c r="B40" s="98"/>
      <c r="C40" s="100" t="s">
        <v>224</v>
      </c>
      <c r="D40" s="113">
        <v>114827</v>
      </c>
      <c r="E40" s="113"/>
      <c r="F40" s="113">
        <v>5000</v>
      </c>
      <c r="G40" s="105">
        <f>G39</f>
        <v>5000</v>
      </c>
      <c r="I40" s="196"/>
      <c r="J40" s="197"/>
      <c r="K40" s="197"/>
      <c r="L40" s="198"/>
      <c r="M40" s="138"/>
      <c r="N40" s="196"/>
      <c r="O40" s="197"/>
      <c r="P40" s="197"/>
      <c r="Q40" s="198"/>
      <c r="R40" s="138"/>
      <c r="S40" s="196"/>
      <c r="T40" s="197"/>
      <c r="U40" s="197"/>
      <c r="V40" s="227"/>
      <c r="W40" s="234"/>
    </row>
    <row r="41" spans="2:23" ht="12.75" customHeight="1" x14ac:dyDescent="0.35">
      <c r="C41" s="84"/>
      <c r="D41" s="106"/>
      <c r="E41" s="107"/>
      <c r="F41" s="108"/>
      <c r="I41" s="196"/>
      <c r="J41" s="197"/>
      <c r="K41" s="197"/>
      <c r="L41" s="198"/>
      <c r="M41" s="138"/>
      <c r="N41" s="196"/>
      <c r="O41" s="197"/>
      <c r="P41" s="197"/>
      <c r="Q41" s="198"/>
      <c r="R41" s="138"/>
      <c r="S41" s="196"/>
      <c r="T41" s="197"/>
      <c r="U41" s="197"/>
      <c r="V41" s="227"/>
      <c r="W41" s="234"/>
    </row>
    <row r="42" spans="2:23" ht="12.75" customHeight="1" thickBot="1" x14ac:dyDescent="0.4">
      <c r="B42" s="6" t="s">
        <v>62</v>
      </c>
      <c r="C42" s="85"/>
      <c r="D42" s="116">
        <f>D39+D37+D35+D33+D31</f>
        <v>266416.70999999996</v>
      </c>
      <c r="E42" s="116">
        <f>E39+E37+E35+E33+E31</f>
        <v>364770.85</v>
      </c>
      <c r="F42" s="116">
        <f>F39+F37+F35+F33+F31</f>
        <v>144000</v>
      </c>
      <c r="G42" s="103">
        <f>'BASE - Pre CV-19'!O86</f>
        <v>385084.79250000004</v>
      </c>
      <c r="I42" s="196">
        <f>D42</f>
        <v>266416.70999999996</v>
      </c>
      <c r="J42" s="197">
        <f t="shared" ref="J42:L42" si="37">E42</f>
        <v>364770.85</v>
      </c>
      <c r="K42" s="197">
        <f t="shared" si="37"/>
        <v>144000</v>
      </c>
      <c r="L42" s="198">
        <f t="shared" si="37"/>
        <v>385084.79250000004</v>
      </c>
      <c r="M42" s="138"/>
      <c r="N42" s="196">
        <f>D43</f>
        <v>183707</v>
      </c>
      <c r="O42" s="197">
        <f t="shared" ref="O42:Q42" si="38">E43</f>
        <v>236960</v>
      </c>
      <c r="P42" s="197">
        <f t="shared" si="38"/>
        <v>271811</v>
      </c>
      <c r="Q42" s="198">
        <f t="shared" si="38"/>
        <v>385084.79250000004</v>
      </c>
      <c r="R42" s="138"/>
      <c r="S42" s="196">
        <f>N42-I42</f>
        <v>-82709.709999999963</v>
      </c>
      <c r="T42" s="197">
        <f t="shared" ref="T42:V42" si="39">O42-J42</f>
        <v>-127810.84999999998</v>
      </c>
      <c r="U42" s="197">
        <f t="shared" si="39"/>
        <v>127811</v>
      </c>
      <c r="V42" s="227">
        <f t="shared" si="39"/>
        <v>0</v>
      </c>
      <c r="W42" s="234" t="s">
        <v>300</v>
      </c>
    </row>
    <row r="43" spans="2:23" ht="12.75" customHeight="1" thickTop="1" x14ac:dyDescent="0.35">
      <c r="B43" s="98"/>
      <c r="C43" s="100" t="s">
        <v>224</v>
      </c>
      <c r="D43" s="113">
        <f>D40+D38+D36+D34+D32</f>
        <v>183707</v>
      </c>
      <c r="E43" s="113">
        <f>E40+E38+E36+E34+E32</f>
        <v>236960</v>
      </c>
      <c r="F43" s="113">
        <f>F40+F38+F36+F34+F32</f>
        <v>271811</v>
      </c>
      <c r="G43" s="105">
        <f>G42</f>
        <v>385084.79250000004</v>
      </c>
      <c r="I43" s="216"/>
      <c r="J43" s="217"/>
      <c r="K43" s="217"/>
      <c r="L43" s="218"/>
      <c r="M43" s="138"/>
      <c r="N43" s="216"/>
      <c r="O43" s="217"/>
      <c r="P43" s="217"/>
      <c r="Q43" s="218"/>
      <c r="R43" s="138"/>
      <c r="S43" s="216"/>
      <c r="T43" s="217"/>
      <c r="U43" s="217"/>
      <c r="V43" s="229"/>
      <c r="W43" s="234"/>
    </row>
    <row r="44" spans="2:23" ht="12.75" customHeight="1" x14ac:dyDescent="0.35">
      <c r="C44" s="84"/>
      <c r="D44" s="106"/>
      <c r="E44" s="107"/>
      <c r="F44" s="108"/>
      <c r="I44" s="219"/>
      <c r="J44" s="220"/>
      <c r="K44" s="220"/>
      <c r="L44" s="221"/>
      <c r="M44" s="138"/>
      <c r="N44" s="219"/>
      <c r="O44" s="220"/>
      <c r="P44" s="220"/>
      <c r="Q44" s="221"/>
      <c r="R44" s="138"/>
      <c r="S44" s="219"/>
      <c r="T44" s="220"/>
      <c r="U44" s="220"/>
      <c r="V44" s="230"/>
      <c r="W44" s="234"/>
    </row>
    <row r="45" spans="2:23" ht="12.75" customHeight="1" thickBot="1" x14ac:dyDescent="0.4">
      <c r="B45" s="6" t="s">
        <v>63</v>
      </c>
      <c r="C45" s="85"/>
      <c r="D45" s="103">
        <f>D42+D28+D24+D12</f>
        <v>879912.47745454544</v>
      </c>
      <c r="E45" s="103">
        <f>E42+E28+E24+E12</f>
        <v>998041.4058272728</v>
      </c>
      <c r="F45" s="103">
        <f>F42+F28+F24+F12</f>
        <v>801711.38361863652</v>
      </c>
      <c r="G45" s="103">
        <f>G42+G28+G24+G12</f>
        <v>1034248.4031926398</v>
      </c>
      <c r="H45" s="106">
        <f>G42+G28+G24+G12</f>
        <v>1034248.4031926398</v>
      </c>
      <c r="I45" s="196">
        <f>D45</f>
        <v>879912.47745454544</v>
      </c>
      <c r="J45" s="197">
        <f t="shared" ref="J45:L45" si="40">E45</f>
        <v>998041.4058272728</v>
      </c>
      <c r="K45" s="197">
        <f t="shared" si="40"/>
        <v>801711.38361863652</v>
      </c>
      <c r="L45" s="198">
        <f t="shared" si="40"/>
        <v>1034248.4031926398</v>
      </c>
      <c r="M45" s="138"/>
      <c r="N45" s="196">
        <f>D46</f>
        <v>792298</v>
      </c>
      <c r="O45" s="197">
        <f t="shared" ref="O45:Q45" si="41">E46</f>
        <v>702076.1133073864</v>
      </c>
      <c r="P45" s="197">
        <f t="shared" si="41"/>
        <v>753697.10397275584</v>
      </c>
      <c r="Q45" s="198">
        <f t="shared" si="41"/>
        <v>872478.5306179293</v>
      </c>
      <c r="R45" s="138"/>
      <c r="S45" s="196">
        <f>N45-I45</f>
        <v>-87614.477454545442</v>
      </c>
      <c r="T45" s="197">
        <f t="shared" ref="T45:V45" si="42">O45-J45</f>
        <v>-295965.2925198864</v>
      </c>
      <c r="U45" s="197">
        <f t="shared" si="42"/>
        <v>-48014.279645880684</v>
      </c>
      <c r="V45" s="227">
        <f t="shared" si="42"/>
        <v>-161769.87257471052</v>
      </c>
      <c r="W45" s="234"/>
    </row>
    <row r="46" spans="2:23" ht="12.75" customHeight="1" thickTop="1" x14ac:dyDescent="0.35">
      <c r="B46" s="98"/>
      <c r="C46" s="100" t="s">
        <v>224</v>
      </c>
      <c r="D46" s="113">
        <f>D43+D29+D25+D13</f>
        <v>792298</v>
      </c>
      <c r="E46" s="113">
        <f>E43+E29+E25+E13</f>
        <v>702076.1133073864</v>
      </c>
      <c r="F46" s="113">
        <f>F43+F29+F25+F13</f>
        <v>753697.10397275584</v>
      </c>
      <c r="G46" s="105">
        <f>G43+G29+G25+G13</f>
        <v>872478.5306179293</v>
      </c>
      <c r="I46" s="216"/>
      <c r="J46" s="217"/>
      <c r="K46" s="217"/>
      <c r="L46" s="218"/>
      <c r="M46" s="138"/>
      <c r="N46" s="216"/>
      <c r="O46" s="217"/>
      <c r="P46" s="217"/>
      <c r="Q46" s="218"/>
      <c r="R46" s="138"/>
      <c r="S46" s="216"/>
      <c r="T46" s="217"/>
      <c r="U46" s="217"/>
      <c r="V46" s="229"/>
      <c r="W46" s="234"/>
    </row>
    <row r="47" spans="2:23" ht="12.75" customHeight="1" x14ac:dyDescent="0.35">
      <c r="B47" s="98"/>
      <c r="C47" s="99"/>
      <c r="D47" s="115"/>
      <c r="E47" s="115"/>
      <c r="F47" s="116"/>
      <c r="I47" s="222"/>
      <c r="J47" s="223"/>
      <c r="K47" s="223"/>
      <c r="L47" s="224"/>
      <c r="M47" s="138"/>
      <c r="N47" s="222"/>
      <c r="O47" s="223"/>
      <c r="P47" s="223"/>
      <c r="Q47" s="224"/>
      <c r="R47" s="138"/>
      <c r="S47" s="222"/>
      <c r="T47" s="223"/>
      <c r="U47" s="223"/>
      <c r="V47" s="231"/>
      <c r="W47" s="234"/>
    </row>
    <row r="48" spans="2:23" ht="12.75" customHeight="1" x14ac:dyDescent="0.35">
      <c r="B48" s="3" t="s">
        <v>65</v>
      </c>
      <c r="D48" s="106"/>
      <c r="E48" s="107"/>
      <c r="F48" s="108"/>
      <c r="I48" s="222"/>
      <c r="J48" s="223"/>
      <c r="K48" s="223"/>
      <c r="L48" s="224"/>
      <c r="M48" s="138"/>
      <c r="N48" s="222"/>
      <c r="O48" s="223"/>
      <c r="P48" s="223"/>
      <c r="Q48" s="224"/>
      <c r="R48" s="138"/>
      <c r="S48" s="222"/>
      <c r="T48" s="223"/>
      <c r="U48" s="223"/>
      <c r="V48" s="231"/>
      <c r="W48" s="234"/>
    </row>
    <row r="49" spans="2:23" ht="12.75" customHeight="1" x14ac:dyDescent="0.35">
      <c r="B49" s="3"/>
      <c r="D49" s="106"/>
      <c r="E49" s="107"/>
      <c r="F49" s="108"/>
      <c r="I49" s="222"/>
      <c r="J49" s="223"/>
      <c r="K49" s="223"/>
      <c r="L49" s="224"/>
      <c r="M49" s="138"/>
      <c r="N49" s="222"/>
      <c r="O49" s="223"/>
      <c r="P49" s="223"/>
      <c r="Q49" s="224"/>
      <c r="R49" s="138"/>
      <c r="S49" s="222"/>
      <c r="T49" s="223"/>
      <c r="U49" s="223"/>
      <c r="V49" s="231"/>
      <c r="W49" s="234"/>
    </row>
    <row r="50" spans="2:23" ht="12.75" customHeight="1" x14ac:dyDescent="0.35">
      <c r="B50" t="s">
        <v>226</v>
      </c>
      <c r="D50" s="105">
        <v>97066</v>
      </c>
      <c r="E50" s="107"/>
      <c r="F50" s="108"/>
      <c r="I50" s="219"/>
      <c r="J50" s="220"/>
      <c r="K50" s="220"/>
      <c r="L50" s="221"/>
      <c r="M50" s="138"/>
      <c r="N50" s="219"/>
      <c r="O50" s="220"/>
      <c r="P50" s="220"/>
      <c r="Q50" s="221"/>
      <c r="R50" s="138"/>
      <c r="S50" s="219"/>
      <c r="T50" s="220"/>
      <c r="U50" s="220"/>
      <c r="V50" s="230"/>
      <c r="W50" s="234"/>
    </row>
    <row r="51" spans="2:23" ht="12.75" customHeight="1" x14ac:dyDescent="0.35">
      <c r="B51" s="3" t="s">
        <v>225</v>
      </c>
      <c r="D51" s="103">
        <v>66700</v>
      </c>
      <c r="E51" s="103">
        <v>65834</v>
      </c>
      <c r="F51" s="103">
        <v>68990</v>
      </c>
      <c r="G51" s="103">
        <f>'BASE - Pre CV-19'!O95+'BASE - Pre CV-19'!O96+'BASE - Pre CV-19'!O100</f>
        <v>66985.125599999999</v>
      </c>
      <c r="I51" s="196">
        <f>D51</f>
        <v>66700</v>
      </c>
      <c r="J51" s="197">
        <f t="shared" ref="J51:L51" si="43">E51</f>
        <v>65834</v>
      </c>
      <c r="K51" s="197">
        <f t="shared" si="43"/>
        <v>68990</v>
      </c>
      <c r="L51" s="198">
        <f t="shared" si="43"/>
        <v>66985.125599999999</v>
      </c>
      <c r="M51" s="138"/>
      <c r="N51" s="196">
        <f>D52</f>
        <v>54993</v>
      </c>
      <c r="O51" s="197">
        <f t="shared" ref="O51:Q51" si="44">E52</f>
        <v>65834</v>
      </c>
      <c r="P51" s="197">
        <f t="shared" si="44"/>
        <v>68990</v>
      </c>
      <c r="Q51" s="198">
        <f t="shared" si="44"/>
        <v>66985.125599999999</v>
      </c>
      <c r="R51" s="138"/>
      <c r="S51" s="196">
        <f>N51-I51</f>
        <v>-11707</v>
      </c>
      <c r="T51" s="197">
        <f t="shared" ref="T51:V51" si="45">O51-J51</f>
        <v>0</v>
      </c>
      <c r="U51" s="197">
        <f t="shared" si="45"/>
        <v>0</v>
      </c>
      <c r="V51" s="227">
        <f t="shared" si="45"/>
        <v>0</v>
      </c>
      <c r="W51" s="234"/>
    </row>
    <row r="52" spans="2:23" ht="12.75" customHeight="1" x14ac:dyDescent="0.35">
      <c r="B52" s="3"/>
      <c r="C52" s="100" t="s">
        <v>224</v>
      </c>
      <c r="D52" s="105">
        <v>54993</v>
      </c>
      <c r="E52" s="105">
        <v>65834</v>
      </c>
      <c r="F52" s="105">
        <v>68990</v>
      </c>
      <c r="G52" s="105">
        <f>G51</f>
        <v>66985.125599999999</v>
      </c>
      <c r="I52" s="216"/>
      <c r="J52" s="217"/>
      <c r="K52" s="217"/>
      <c r="L52" s="218"/>
      <c r="M52" s="138"/>
      <c r="N52" s="216"/>
      <c r="O52" s="217"/>
      <c r="P52" s="217"/>
      <c r="Q52" s="218"/>
      <c r="R52" s="138"/>
      <c r="S52" s="216"/>
      <c r="T52" s="217"/>
      <c r="U52" s="217"/>
      <c r="V52" s="229"/>
      <c r="W52" s="234"/>
    </row>
    <row r="53" spans="2:23" ht="12.75" customHeight="1" x14ac:dyDescent="0.35">
      <c r="B53" s="3" t="s">
        <v>73</v>
      </c>
      <c r="C53" s="33"/>
      <c r="D53" s="103">
        <v>35391.565799999997</v>
      </c>
      <c r="E53" s="103">
        <v>36821.734484000001</v>
      </c>
      <c r="F53" s="103">
        <v>38329.059794319997</v>
      </c>
      <c r="G53" s="103">
        <f>'BASE - Pre CV-19'!O115</f>
        <v>40606.326298433603</v>
      </c>
      <c r="I53" s="196">
        <f>D53</f>
        <v>35391.565799999997</v>
      </c>
      <c r="J53" s="197">
        <f t="shared" ref="J53:L53" si="46">E53</f>
        <v>36821.734484000001</v>
      </c>
      <c r="K53" s="197">
        <f t="shared" si="46"/>
        <v>38329.059794319997</v>
      </c>
      <c r="L53" s="198">
        <f t="shared" si="46"/>
        <v>40606.326298433603</v>
      </c>
      <c r="M53" s="138"/>
      <c r="N53" s="196">
        <f>D54</f>
        <v>34069</v>
      </c>
      <c r="O53" s="197">
        <f t="shared" ref="O53:Q53" si="47">E54</f>
        <v>40797</v>
      </c>
      <c r="P53" s="197">
        <f t="shared" si="47"/>
        <v>38330</v>
      </c>
      <c r="Q53" s="198">
        <f t="shared" si="47"/>
        <v>40606.326298433603</v>
      </c>
      <c r="R53" s="138"/>
      <c r="S53" s="196">
        <f>N53-I53</f>
        <v>-1322.5657999999967</v>
      </c>
      <c r="T53" s="197">
        <f t="shared" ref="T53:V53" si="48">O53-J53</f>
        <v>3975.2655159999995</v>
      </c>
      <c r="U53" s="197">
        <f t="shared" si="48"/>
        <v>0.94020568000269122</v>
      </c>
      <c r="V53" s="227">
        <f t="shared" si="48"/>
        <v>0</v>
      </c>
      <c r="W53" s="234"/>
    </row>
    <row r="54" spans="2:23" ht="12.75" customHeight="1" x14ac:dyDescent="0.35">
      <c r="B54" s="98"/>
      <c r="C54" s="100" t="s">
        <v>224</v>
      </c>
      <c r="D54" s="113">
        <v>34069</v>
      </c>
      <c r="E54" s="113">
        <v>40797</v>
      </c>
      <c r="F54" s="113">
        <v>38330</v>
      </c>
      <c r="G54" s="105">
        <f>G53</f>
        <v>40606.326298433603</v>
      </c>
      <c r="I54" s="216"/>
      <c r="J54" s="217"/>
      <c r="K54" s="217"/>
      <c r="L54" s="218"/>
      <c r="M54" s="138"/>
      <c r="N54" s="216"/>
      <c r="O54" s="217"/>
      <c r="P54" s="217"/>
      <c r="Q54" s="218"/>
      <c r="R54" s="138"/>
      <c r="S54" s="216"/>
      <c r="T54" s="217"/>
      <c r="U54" s="217"/>
      <c r="V54" s="229"/>
      <c r="W54" s="234"/>
    </row>
    <row r="55" spans="2:23" ht="12.75" customHeight="1" x14ac:dyDescent="0.35">
      <c r="B55" s="3" t="s">
        <v>85</v>
      </c>
      <c r="C55" s="33"/>
      <c r="D55" s="103">
        <v>293552</v>
      </c>
      <c r="E55" s="103">
        <v>302669.54000000004</v>
      </c>
      <c r="F55" s="103">
        <v>311786.00579999998</v>
      </c>
      <c r="G55" s="103">
        <f>'BASE - Pre CV-19'!O129</f>
        <v>321185.30402600003</v>
      </c>
      <c r="I55" s="196">
        <f>D55</f>
        <v>293552</v>
      </c>
      <c r="J55" s="197">
        <f t="shared" ref="J55:L55" si="49">E55</f>
        <v>302669.54000000004</v>
      </c>
      <c r="K55" s="197">
        <f t="shared" si="49"/>
        <v>311786.00579999998</v>
      </c>
      <c r="L55" s="198">
        <f t="shared" si="49"/>
        <v>321185.30402600003</v>
      </c>
      <c r="M55" s="138"/>
      <c r="N55" s="196">
        <f>D56</f>
        <v>257938</v>
      </c>
      <c r="O55" s="197">
        <f t="shared" ref="O55:Q55" si="50">E56</f>
        <v>302670</v>
      </c>
      <c r="P55" s="197">
        <f t="shared" si="50"/>
        <v>311786</v>
      </c>
      <c r="Q55" s="198">
        <f t="shared" si="50"/>
        <v>321185.30402600003</v>
      </c>
      <c r="R55" s="138"/>
      <c r="S55" s="196">
        <f>N55-I55</f>
        <v>-35614</v>
      </c>
      <c r="T55" s="197">
        <f t="shared" ref="T55:V55" si="51">O55-J55</f>
        <v>0.4599999999627471</v>
      </c>
      <c r="U55" s="197">
        <f t="shared" si="51"/>
        <v>-5.799999984446913E-3</v>
      </c>
      <c r="V55" s="227">
        <f t="shared" si="51"/>
        <v>0</v>
      </c>
      <c r="W55" s="234"/>
    </row>
    <row r="56" spans="2:23" ht="12.75" customHeight="1" x14ac:dyDescent="0.35">
      <c r="B56" s="98"/>
      <c r="C56" s="100" t="s">
        <v>224</v>
      </c>
      <c r="D56" s="113">
        <v>257938</v>
      </c>
      <c r="E56" s="113">
        <v>302670</v>
      </c>
      <c r="F56" s="113">
        <v>311786</v>
      </c>
      <c r="G56" s="105">
        <f>G55</f>
        <v>321185.30402600003</v>
      </c>
      <c r="I56" s="216"/>
      <c r="J56" s="217"/>
      <c r="K56" s="217"/>
      <c r="L56" s="218"/>
      <c r="M56" s="138"/>
      <c r="N56" s="216"/>
      <c r="O56" s="217"/>
      <c r="P56" s="217"/>
      <c r="Q56" s="218"/>
      <c r="R56" s="138"/>
      <c r="S56" s="216"/>
      <c r="T56" s="217"/>
      <c r="U56" s="217"/>
      <c r="V56" s="229"/>
      <c r="W56" s="234"/>
    </row>
    <row r="57" spans="2:23" ht="12.75" customHeight="1" x14ac:dyDescent="0.35">
      <c r="B57" s="3" t="s">
        <v>98</v>
      </c>
      <c r="C57" s="33"/>
      <c r="D57" s="103">
        <v>94932</v>
      </c>
      <c r="E57" s="103">
        <v>99678.6</v>
      </c>
      <c r="F57" s="103">
        <v>99678.6</v>
      </c>
      <c r="G57" s="103">
        <f>'BASE - Pre CV-19'!O136</f>
        <v>104662.53</v>
      </c>
      <c r="I57" s="196">
        <f>D57</f>
        <v>94932</v>
      </c>
      <c r="J57" s="197">
        <f t="shared" ref="J57:L57" si="52">E57</f>
        <v>99678.6</v>
      </c>
      <c r="K57" s="197">
        <f t="shared" si="52"/>
        <v>99678.6</v>
      </c>
      <c r="L57" s="198">
        <f t="shared" si="52"/>
        <v>104662.53</v>
      </c>
      <c r="M57" s="138"/>
      <c r="N57" s="196">
        <f>D58</f>
        <v>100854</v>
      </c>
      <c r="O57" s="197">
        <f t="shared" ref="O57:Q57" si="53">E58</f>
        <v>94694.67</v>
      </c>
      <c r="P57" s="197">
        <f t="shared" si="53"/>
        <v>94694.67</v>
      </c>
      <c r="Q57" s="198">
        <f t="shared" si="53"/>
        <v>99429.4035</v>
      </c>
      <c r="R57" s="138"/>
      <c r="S57" s="196">
        <f>N57-I57</f>
        <v>5922</v>
      </c>
      <c r="T57" s="197">
        <f t="shared" ref="T57:V57" si="54">O57-J57</f>
        <v>-4983.9300000000076</v>
      </c>
      <c r="U57" s="197">
        <f t="shared" si="54"/>
        <v>-4983.9300000000076</v>
      </c>
      <c r="V57" s="227">
        <f t="shared" si="54"/>
        <v>-5233.1264999999985</v>
      </c>
      <c r="W57" s="234" t="s">
        <v>328</v>
      </c>
    </row>
    <row r="58" spans="2:23" ht="12.75" customHeight="1" x14ac:dyDescent="0.35">
      <c r="C58" s="100" t="s">
        <v>224</v>
      </c>
      <c r="D58" s="118">
        <v>100854</v>
      </c>
      <c r="E58" s="118">
        <f>E57*0.95</f>
        <v>94694.67</v>
      </c>
      <c r="F58" s="118">
        <f t="shared" ref="F58:G58" si="55">F57*0.95</f>
        <v>94694.67</v>
      </c>
      <c r="G58" s="118">
        <f t="shared" si="55"/>
        <v>99429.4035</v>
      </c>
      <c r="I58" s="196"/>
      <c r="J58" s="197"/>
      <c r="K58" s="197"/>
      <c r="L58" s="198"/>
      <c r="M58" s="138"/>
      <c r="N58" s="196"/>
      <c r="O58" s="197"/>
      <c r="P58" s="197"/>
      <c r="Q58" s="198"/>
      <c r="R58" s="138"/>
      <c r="S58" s="196"/>
      <c r="T58" s="197"/>
      <c r="U58" s="197"/>
      <c r="V58" s="227"/>
      <c r="W58" s="234"/>
    </row>
    <row r="59" spans="2:23" ht="12.75" customHeight="1" x14ac:dyDescent="0.35">
      <c r="B59" s="3" t="s">
        <v>102</v>
      </c>
      <c r="C59" s="83"/>
      <c r="D59" s="103">
        <v>154690</v>
      </c>
      <c r="E59" s="103">
        <v>223723.99</v>
      </c>
      <c r="F59" s="103">
        <v>161081.476</v>
      </c>
      <c r="G59" s="103">
        <f>'BASE - Pre CV-19'!O145</f>
        <v>229500</v>
      </c>
      <c r="I59" s="196">
        <f>D59</f>
        <v>154690</v>
      </c>
      <c r="J59" s="197">
        <f t="shared" ref="J59:L59" si="56">E59</f>
        <v>223723.99</v>
      </c>
      <c r="K59" s="197">
        <f t="shared" si="56"/>
        <v>161081.476</v>
      </c>
      <c r="L59" s="198">
        <f t="shared" si="56"/>
        <v>229500</v>
      </c>
      <c r="M59" s="138"/>
      <c r="N59" s="196">
        <f>D60</f>
        <v>97645</v>
      </c>
      <c r="O59" s="197">
        <f t="shared" ref="O59:Q59" si="57">E60</f>
        <v>161081.476</v>
      </c>
      <c r="P59" s="197">
        <f t="shared" si="57"/>
        <v>223723.99</v>
      </c>
      <c r="Q59" s="198">
        <f t="shared" si="57"/>
        <v>229500</v>
      </c>
      <c r="R59" s="138"/>
      <c r="S59" s="196">
        <f>N59-I59</f>
        <v>-57045</v>
      </c>
      <c r="T59" s="197">
        <f t="shared" ref="T59:V59" si="58">O59-J59</f>
        <v>-62642.513999999996</v>
      </c>
      <c r="U59" s="197">
        <f t="shared" si="58"/>
        <v>62642.513999999996</v>
      </c>
      <c r="V59" s="227">
        <f t="shared" si="58"/>
        <v>0</v>
      </c>
      <c r="W59" s="234" t="s">
        <v>329</v>
      </c>
    </row>
    <row r="60" spans="2:23" ht="12.75" customHeight="1" x14ac:dyDescent="0.35">
      <c r="B60" s="98"/>
      <c r="C60" s="100" t="s">
        <v>224</v>
      </c>
      <c r="D60" s="113">
        <v>97645</v>
      </c>
      <c r="E60" s="113">
        <f>F59</f>
        <v>161081.476</v>
      </c>
      <c r="F60" s="113">
        <f>E59</f>
        <v>223723.99</v>
      </c>
      <c r="G60" s="105">
        <f>G59</f>
        <v>229500</v>
      </c>
      <c r="I60" s="216"/>
      <c r="J60" s="217"/>
      <c r="K60" s="217"/>
      <c r="L60" s="218"/>
      <c r="M60" s="138"/>
      <c r="N60" s="216"/>
      <c r="O60" s="217"/>
      <c r="P60" s="217"/>
      <c r="Q60" s="218"/>
      <c r="R60" s="138"/>
      <c r="S60" s="216"/>
      <c r="T60" s="217"/>
      <c r="U60" s="217"/>
      <c r="V60" s="229"/>
      <c r="W60" s="234"/>
    </row>
    <row r="61" spans="2:23" ht="12.75" customHeight="1" x14ac:dyDescent="0.35">
      <c r="B61" s="3" t="s">
        <v>110</v>
      </c>
      <c r="C61" s="84"/>
      <c r="D61" s="106">
        <v>121500</v>
      </c>
      <c r="E61" s="107">
        <v>4500</v>
      </c>
      <c r="F61" s="108"/>
      <c r="I61" s="222"/>
      <c r="J61" s="223"/>
      <c r="K61" s="223"/>
      <c r="L61" s="224"/>
      <c r="M61" s="138"/>
      <c r="N61" s="222"/>
      <c r="O61" s="223"/>
      <c r="P61" s="223"/>
      <c r="Q61" s="224"/>
      <c r="R61" s="138"/>
      <c r="S61" s="222"/>
      <c r="T61" s="223"/>
      <c r="U61" s="223"/>
      <c r="V61" s="231"/>
      <c r="W61" s="234"/>
    </row>
    <row r="62" spans="2:23" ht="12.75" customHeight="1" x14ac:dyDescent="0.35">
      <c r="C62" s="84"/>
      <c r="D62" s="106"/>
      <c r="E62" s="107"/>
      <c r="F62" s="108"/>
      <c r="I62" s="222"/>
      <c r="J62" s="223"/>
      <c r="K62" s="223"/>
      <c r="L62" s="224"/>
      <c r="M62" s="138"/>
      <c r="N62" s="222"/>
      <c r="O62" s="223"/>
      <c r="P62" s="223"/>
      <c r="Q62" s="224"/>
      <c r="R62" s="138"/>
      <c r="S62" s="222"/>
      <c r="T62" s="223"/>
      <c r="U62" s="223"/>
      <c r="V62" s="231"/>
      <c r="W62" s="234"/>
    </row>
    <row r="63" spans="2:23" ht="12.75" customHeight="1" x14ac:dyDescent="0.35">
      <c r="B63" s="3" t="s">
        <v>113</v>
      </c>
      <c r="C63" s="83"/>
      <c r="D63" s="103">
        <v>83000</v>
      </c>
      <c r="E63" s="103">
        <v>0</v>
      </c>
      <c r="F63" s="103">
        <v>87150</v>
      </c>
      <c r="G63" s="103">
        <f>'BASE - Pre CV-19'!O155</f>
        <v>0</v>
      </c>
      <c r="I63" s="196">
        <f>D63</f>
        <v>83000</v>
      </c>
      <c r="J63" s="197">
        <f t="shared" ref="J63:L63" si="59">E63</f>
        <v>0</v>
      </c>
      <c r="K63" s="197">
        <f t="shared" si="59"/>
        <v>87150</v>
      </c>
      <c r="L63" s="198">
        <f t="shared" si="59"/>
        <v>0</v>
      </c>
      <c r="M63" s="138"/>
      <c r="N63" s="196">
        <f>D64</f>
        <v>80453</v>
      </c>
      <c r="O63" s="197">
        <f t="shared" ref="O63:Q63" si="60">E64</f>
        <v>0</v>
      </c>
      <c r="P63" s="197">
        <f t="shared" si="60"/>
        <v>87150</v>
      </c>
      <c r="Q63" s="198">
        <f t="shared" si="60"/>
        <v>0</v>
      </c>
      <c r="R63" s="138"/>
      <c r="S63" s="196">
        <f>N63-I63</f>
        <v>-2547</v>
      </c>
      <c r="T63" s="197">
        <f t="shared" ref="T63:V63" si="61">O63-J63</f>
        <v>0</v>
      </c>
      <c r="U63" s="197">
        <f t="shared" si="61"/>
        <v>0</v>
      </c>
      <c r="V63" s="227">
        <f t="shared" si="61"/>
        <v>0</v>
      </c>
      <c r="W63" s="234"/>
    </row>
    <row r="64" spans="2:23" ht="12.75" customHeight="1" x14ac:dyDescent="0.35">
      <c r="C64" s="100" t="s">
        <v>224</v>
      </c>
      <c r="D64" s="105">
        <v>80453</v>
      </c>
      <c r="E64" s="105"/>
      <c r="F64" s="105">
        <v>87150</v>
      </c>
      <c r="G64" s="105">
        <f>G63</f>
        <v>0</v>
      </c>
      <c r="I64" s="216"/>
      <c r="J64" s="217"/>
      <c r="K64" s="217"/>
      <c r="L64" s="218"/>
      <c r="M64" s="138"/>
      <c r="N64" s="216"/>
      <c r="O64" s="217"/>
      <c r="P64" s="217"/>
      <c r="Q64" s="218"/>
      <c r="R64" s="138"/>
      <c r="S64" s="216"/>
      <c r="T64" s="217"/>
      <c r="U64" s="217"/>
      <c r="V64" s="229"/>
      <c r="W64" s="234"/>
    </row>
    <row r="65" spans="2:23" ht="12.75" customHeight="1" x14ac:dyDescent="0.35">
      <c r="B65" s="3" t="s">
        <v>115</v>
      </c>
      <c r="C65" s="83"/>
      <c r="D65" s="103">
        <v>0</v>
      </c>
      <c r="E65" s="103">
        <v>86111.3</v>
      </c>
      <c r="F65" s="103">
        <v>0</v>
      </c>
      <c r="G65" s="103">
        <f>'BASE - Pre CV-19'!O161</f>
        <v>86442.010000000009</v>
      </c>
      <c r="I65" s="196">
        <f>D65</f>
        <v>0</v>
      </c>
      <c r="J65" s="197">
        <f t="shared" ref="J65:L65" si="62">E65</f>
        <v>86111.3</v>
      </c>
      <c r="K65" s="197">
        <f t="shared" si="62"/>
        <v>0</v>
      </c>
      <c r="L65" s="198">
        <f t="shared" si="62"/>
        <v>86442.010000000009</v>
      </c>
      <c r="M65" s="138"/>
      <c r="N65" s="196">
        <f>D66</f>
        <v>0</v>
      </c>
      <c r="O65" s="197">
        <f t="shared" ref="O65:Q65" si="63">E66</f>
        <v>0</v>
      </c>
      <c r="P65" s="197">
        <f t="shared" si="63"/>
        <v>86111.3</v>
      </c>
      <c r="Q65" s="198">
        <f t="shared" si="63"/>
        <v>86442.010000000009</v>
      </c>
      <c r="R65" s="138"/>
      <c r="S65" s="196">
        <f>N65-I65</f>
        <v>0</v>
      </c>
      <c r="T65" s="197">
        <f t="shared" ref="T65:V65" si="64">O65-J65</f>
        <v>-86111.3</v>
      </c>
      <c r="U65" s="197">
        <f t="shared" si="64"/>
        <v>86111.3</v>
      </c>
      <c r="V65" s="227">
        <f t="shared" si="64"/>
        <v>0</v>
      </c>
      <c r="W65" s="234" t="s">
        <v>319</v>
      </c>
    </row>
    <row r="66" spans="2:23" ht="12.75" customHeight="1" x14ac:dyDescent="0.35">
      <c r="C66" s="100" t="s">
        <v>224</v>
      </c>
      <c r="D66" s="105"/>
      <c r="E66" s="105">
        <f>F65</f>
        <v>0</v>
      </c>
      <c r="F66" s="105">
        <f>E65</f>
        <v>86111.3</v>
      </c>
      <c r="G66" s="105">
        <f>G65</f>
        <v>86442.010000000009</v>
      </c>
      <c r="I66" s="216"/>
      <c r="J66" s="217"/>
      <c r="K66" s="217"/>
      <c r="L66" s="218"/>
      <c r="M66" s="138"/>
      <c r="N66" s="216"/>
      <c r="O66" s="217"/>
      <c r="P66" s="217"/>
      <c r="Q66" s="218"/>
      <c r="R66" s="138"/>
      <c r="S66" s="216"/>
      <c r="T66" s="217"/>
      <c r="U66" s="217"/>
      <c r="V66" s="229"/>
      <c r="W66" s="234"/>
    </row>
    <row r="67" spans="2:23" ht="12.75" customHeight="1" x14ac:dyDescent="0.35">
      <c r="B67" s="3" t="s">
        <v>120</v>
      </c>
      <c r="C67" s="83"/>
      <c r="D67" s="103">
        <v>0</v>
      </c>
      <c r="E67" s="103">
        <v>140700</v>
      </c>
      <c r="F67" s="103">
        <v>0</v>
      </c>
      <c r="G67" s="103">
        <f>'BASE - Pre CV-19'!O165</f>
        <v>147735</v>
      </c>
      <c r="I67" s="196">
        <f>D67</f>
        <v>0</v>
      </c>
      <c r="J67" s="197">
        <f t="shared" ref="J67:L67" si="65">E67</f>
        <v>140700</v>
      </c>
      <c r="K67" s="197">
        <f t="shared" si="65"/>
        <v>0</v>
      </c>
      <c r="L67" s="198">
        <f t="shared" si="65"/>
        <v>147735</v>
      </c>
      <c r="M67" s="138"/>
      <c r="N67" s="196">
        <f>D68</f>
        <v>0</v>
      </c>
      <c r="O67" s="197">
        <f t="shared" ref="O67:Q67" si="66">E68</f>
        <v>140700</v>
      </c>
      <c r="P67" s="197">
        <f t="shared" si="66"/>
        <v>0</v>
      </c>
      <c r="Q67" s="198">
        <f t="shared" si="66"/>
        <v>147735</v>
      </c>
      <c r="R67" s="138"/>
      <c r="S67" s="196">
        <f>N67-I67</f>
        <v>0</v>
      </c>
      <c r="T67" s="197">
        <f t="shared" ref="T67:V67" si="67">O67-J67</f>
        <v>0</v>
      </c>
      <c r="U67" s="197">
        <f t="shared" si="67"/>
        <v>0</v>
      </c>
      <c r="V67" s="227">
        <f t="shared" si="67"/>
        <v>0</v>
      </c>
      <c r="W67" s="234"/>
    </row>
    <row r="68" spans="2:23" ht="12.75" customHeight="1" x14ac:dyDescent="0.35">
      <c r="C68" s="100" t="s">
        <v>224</v>
      </c>
      <c r="D68" s="105"/>
      <c r="E68" s="105">
        <v>140700</v>
      </c>
      <c r="F68" s="105"/>
      <c r="G68" s="105">
        <f>G67</f>
        <v>147735</v>
      </c>
      <c r="I68" s="216"/>
      <c r="J68" s="217"/>
      <c r="K68" s="217"/>
      <c r="L68" s="218"/>
      <c r="M68" s="138"/>
      <c r="N68" s="216"/>
      <c r="O68" s="217"/>
      <c r="P68" s="217"/>
      <c r="Q68" s="218"/>
      <c r="R68" s="138"/>
      <c r="S68" s="216"/>
      <c r="T68" s="217"/>
      <c r="U68" s="217"/>
      <c r="V68" s="229"/>
      <c r="W68" s="234"/>
    </row>
    <row r="69" spans="2:23" ht="12.75" customHeight="1" x14ac:dyDescent="0.35">
      <c r="B69" s="3" t="s">
        <v>122</v>
      </c>
      <c r="C69" s="83"/>
      <c r="D69" s="103">
        <v>10000</v>
      </c>
      <c r="E69" s="103">
        <v>10000</v>
      </c>
      <c r="F69" s="103">
        <v>10000</v>
      </c>
      <c r="G69" s="103">
        <f>'BASE - Pre CV-19'!O169</f>
        <v>16000</v>
      </c>
      <c r="I69" s="196">
        <f>D69</f>
        <v>10000</v>
      </c>
      <c r="J69" s="197">
        <f t="shared" ref="J69:L69" si="68">E69</f>
        <v>10000</v>
      </c>
      <c r="K69" s="197">
        <f t="shared" si="68"/>
        <v>10000</v>
      </c>
      <c r="L69" s="198">
        <f t="shared" si="68"/>
        <v>16000</v>
      </c>
      <c r="M69" s="138"/>
      <c r="N69" s="196">
        <f>D70</f>
        <v>769</v>
      </c>
      <c r="O69" s="197">
        <f t="shared" ref="O69:Q69" si="69">E70</f>
        <v>10000</v>
      </c>
      <c r="P69" s="197">
        <f t="shared" si="69"/>
        <v>10000</v>
      </c>
      <c r="Q69" s="198">
        <f t="shared" si="69"/>
        <v>16000</v>
      </c>
      <c r="R69" s="138"/>
      <c r="S69" s="196">
        <f>N69-I69</f>
        <v>-9231</v>
      </c>
      <c r="T69" s="197">
        <f t="shared" ref="T69:V69" si="70">O69-J69</f>
        <v>0</v>
      </c>
      <c r="U69" s="197">
        <f t="shared" si="70"/>
        <v>0</v>
      </c>
      <c r="V69" s="227">
        <f t="shared" si="70"/>
        <v>0</v>
      </c>
      <c r="W69" s="234"/>
    </row>
    <row r="70" spans="2:23" ht="12.75" customHeight="1" x14ac:dyDescent="0.35">
      <c r="B70" s="98"/>
      <c r="C70" s="100" t="s">
        <v>224</v>
      </c>
      <c r="D70" s="113">
        <v>769</v>
      </c>
      <c r="E70" s="113">
        <v>10000</v>
      </c>
      <c r="F70" s="113">
        <v>10000</v>
      </c>
      <c r="G70" s="105">
        <f>G69</f>
        <v>16000</v>
      </c>
      <c r="I70" s="216"/>
      <c r="J70" s="217"/>
      <c r="K70" s="217"/>
      <c r="L70" s="218"/>
      <c r="M70" s="138"/>
      <c r="N70" s="216"/>
      <c r="O70" s="217"/>
      <c r="P70" s="217"/>
      <c r="Q70" s="218"/>
      <c r="R70" s="138"/>
      <c r="S70" s="216"/>
      <c r="T70" s="217"/>
      <c r="U70" s="217"/>
      <c r="V70" s="229"/>
      <c r="W70" s="234"/>
    </row>
    <row r="71" spans="2:23" ht="12.75" customHeight="1" thickBot="1" x14ac:dyDescent="0.4">
      <c r="B71" s="6" t="s">
        <v>125</v>
      </c>
      <c r="C71" s="85"/>
      <c r="D71" s="103">
        <f>D69+D67+D65+D63+D61</f>
        <v>214500</v>
      </c>
      <c r="E71" s="103">
        <f>E69+E67+E65+E63+E61</f>
        <v>241311.3</v>
      </c>
      <c r="F71" s="103">
        <f>F69+F67+F65+F63</f>
        <v>97150</v>
      </c>
      <c r="G71" s="103">
        <f>'BASE - Pre CV-19'!O171</f>
        <v>253677.01</v>
      </c>
      <c r="I71" s="196">
        <f>D71</f>
        <v>214500</v>
      </c>
      <c r="J71" s="197">
        <f t="shared" ref="J71:L71" si="71">E71</f>
        <v>241311.3</v>
      </c>
      <c r="K71" s="197">
        <f t="shared" si="71"/>
        <v>97150</v>
      </c>
      <c r="L71" s="198">
        <f t="shared" si="71"/>
        <v>253677.01</v>
      </c>
      <c r="M71" s="138"/>
      <c r="N71" s="196">
        <f>D72</f>
        <v>81278.22</v>
      </c>
      <c r="O71" s="197">
        <f t="shared" ref="O71:Q71" si="72">E72</f>
        <v>155200</v>
      </c>
      <c r="P71" s="197">
        <f t="shared" si="72"/>
        <v>183261.3</v>
      </c>
      <c r="Q71" s="198">
        <f t="shared" si="72"/>
        <v>253677.01</v>
      </c>
      <c r="R71" s="138"/>
      <c r="S71" s="196">
        <f>N71-I71</f>
        <v>-133221.78</v>
      </c>
      <c r="T71" s="197">
        <f t="shared" ref="T71:V71" si="73">O71-J71</f>
        <v>-86111.299999999988</v>
      </c>
      <c r="U71" s="197">
        <f t="shared" si="73"/>
        <v>86111.299999999988</v>
      </c>
      <c r="V71" s="227">
        <f t="shared" si="73"/>
        <v>0</v>
      </c>
      <c r="W71" s="234" t="s">
        <v>302</v>
      </c>
    </row>
    <row r="72" spans="2:23" ht="12.75" customHeight="1" thickTop="1" x14ac:dyDescent="0.35">
      <c r="B72" s="98"/>
      <c r="C72" s="100" t="s">
        <v>224</v>
      </c>
      <c r="D72" s="105">
        <f>D70+D68+D66+D64+56.22</f>
        <v>81278.22</v>
      </c>
      <c r="E72" s="105">
        <f>E70+E68+E66+E64+4500</f>
        <v>155200</v>
      </c>
      <c r="F72" s="105">
        <f>F70+F68+F66+F64</f>
        <v>183261.3</v>
      </c>
      <c r="G72" s="105">
        <f>G71</f>
        <v>253677.01</v>
      </c>
      <c r="I72" s="216"/>
      <c r="J72" s="217"/>
      <c r="K72" s="217"/>
      <c r="L72" s="218"/>
      <c r="M72" s="138"/>
      <c r="N72" s="216"/>
      <c r="O72" s="217"/>
      <c r="P72" s="217"/>
      <c r="Q72" s="218"/>
      <c r="R72" s="138"/>
      <c r="S72" s="216"/>
      <c r="T72" s="217"/>
      <c r="U72" s="217"/>
      <c r="V72" s="229"/>
      <c r="W72" s="234"/>
    </row>
    <row r="73" spans="2:23" ht="12.75" customHeight="1" thickBot="1" x14ac:dyDescent="0.4">
      <c r="B73" s="6" t="s">
        <v>126</v>
      </c>
      <c r="C73" s="85"/>
      <c r="D73" s="103">
        <f>D71+D59+D57+D55+D53+D51</f>
        <v>859765.56579999998</v>
      </c>
      <c r="E73" s="103">
        <f>E71+E59+E57+E55+E53+E51</f>
        <v>970039.16448400007</v>
      </c>
      <c r="F73" s="103">
        <f>F71+F59+F57+F55+F53+F51</f>
        <v>777015.14159432007</v>
      </c>
      <c r="G73" s="103">
        <f>'BASE - Pre CV-19'!O173</f>
        <v>1016616.2959244336</v>
      </c>
      <c r="I73" s="196">
        <f>D73</f>
        <v>859765.56579999998</v>
      </c>
      <c r="J73" s="197">
        <f t="shared" ref="J73:L73" si="74">E73</f>
        <v>970039.16448400007</v>
      </c>
      <c r="K73" s="197">
        <f t="shared" si="74"/>
        <v>777015.14159432007</v>
      </c>
      <c r="L73" s="198">
        <f t="shared" si="74"/>
        <v>1016616.2959244336</v>
      </c>
      <c r="M73" s="138"/>
      <c r="N73" s="196">
        <f>D74</f>
        <v>723843.22</v>
      </c>
      <c r="O73" s="197">
        <f t="shared" ref="O73:Q73" si="75">E74</f>
        <v>820277.14600000007</v>
      </c>
      <c r="P73" s="197">
        <f t="shared" si="75"/>
        <v>920785.96000000008</v>
      </c>
      <c r="Q73" s="198">
        <f t="shared" si="75"/>
        <v>1016616.2959244336</v>
      </c>
      <c r="R73" s="138"/>
      <c r="S73" s="196">
        <f>N73-I73</f>
        <v>-135922.34580000001</v>
      </c>
      <c r="T73" s="197">
        <f t="shared" ref="T73:V73" si="76">O73-J73</f>
        <v>-149762.018484</v>
      </c>
      <c r="U73" s="197">
        <f t="shared" si="76"/>
        <v>143770.81840568001</v>
      </c>
      <c r="V73" s="227">
        <f t="shared" si="76"/>
        <v>0</v>
      </c>
      <c r="W73" s="234" t="s">
        <v>302</v>
      </c>
    </row>
    <row r="74" spans="2:23" ht="12.75" customHeight="1" thickTop="1" x14ac:dyDescent="0.35">
      <c r="B74" s="98"/>
      <c r="C74" s="100" t="s">
        <v>224</v>
      </c>
      <c r="D74" s="113">
        <f>D72+D60+D56+D54+D52+D50+D58</f>
        <v>723843.22</v>
      </c>
      <c r="E74" s="113">
        <f>E72+E60+E56+E54+E52+E50+E58</f>
        <v>820277.14600000007</v>
      </c>
      <c r="F74" s="113">
        <f>F72+F60+F56+F54+F52+F50+F58</f>
        <v>920785.96000000008</v>
      </c>
      <c r="G74" s="105">
        <f>G73</f>
        <v>1016616.2959244336</v>
      </c>
      <c r="I74" s="216"/>
      <c r="J74" s="217"/>
      <c r="K74" s="217"/>
      <c r="L74" s="218"/>
      <c r="M74" s="138"/>
      <c r="N74" s="216"/>
      <c r="O74" s="217"/>
      <c r="P74" s="217"/>
      <c r="Q74" s="218"/>
      <c r="R74" s="138"/>
      <c r="S74" s="216"/>
      <c r="T74" s="217"/>
      <c r="U74" s="217"/>
      <c r="V74" s="229"/>
      <c r="W74" s="234"/>
    </row>
    <row r="75" spans="2:23" ht="12.75" customHeight="1" thickBot="1" x14ac:dyDescent="0.4">
      <c r="B75" s="6" t="s">
        <v>168</v>
      </c>
      <c r="C75" s="85" t="s">
        <v>227</v>
      </c>
      <c r="D75" s="103">
        <f>D45-D73</f>
        <v>20146.91165454546</v>
      </c>
      <c r="E75" s="103">
        <f>E45-E73</f>
        <v>28002.241343272734</v>
      </c>
      <c r="F75" s="103">
        <f>F45-F73</f>
        <v>24696.242024316452</v>
      </c>
      <c r="G75" s="103">
        <f>G45-G73</f>
        <v>17632.107268206193</v>
      </c>
      <c r="I75" s="199">
        <f>D75</f>
        <v>20146.91165454546</v>
      </c>
      <c r="J75" s="200">
        <f t="shared" ref="J75:L75" si="77">E75</f>
        <v>28002.241343272734</v>
      </c>
      <c r="K75" s="200">
        <f t="shared" si="77"/>
        <v>24696.242024316452</v>
      </c>
      <c r="L75" s="201">
        <f t="shared" si="77"/>
        <v>17632.107268206193</v>
      </c>
      <c r="M75" s="138"/>
      <c r="N75" s="199">
        <f>D76</f>
        <v>68454.780000000028</v>
      </c>
      <c r="O75" s="200">
        <f t="shared" ref="O75:Q75" si="78">E76</f>
        <v>-118201.03269261366</v>
      </c>
      <c r="P75" s="200">
        <f t="shared" si="78"/>
        <v>-167088.85602724424</v>
      </c>
      <c r="Q75" s="201">
        <f t="shared" si="78"/>
        <v>-144137.76530650433</v>
      </c>
      <c r="R75" s="138"/>
      <c r="S75" s="199">
        <f>N75-I75</f>
        <v>48307.868345454568</v>
      </c>
      <c r="T75" s="200">
        <f t="shared" ref="T75:V75" si="79">O75-J75</f>
        <v>-146203.2740358864</v>
      </c>
      <c r="U75" s="200">
        <f t="shared" si="79"/>
        <v>-191785.09805156069</v>
      </c>
      <c r="V75" s="232">
        <f t="shared" si="79"/>
        <v>-161769.87257471052</v>
      </c>
      <c r="W75" s="235"/>
    </row>
    <row r="76" spans="2:23" ht="12.75" customHeight="1" thickTop="1" x14ac:dyDescent="0.35">
      <c r="B76" s="98"/>
      <c r="C76" s="100" t="s">
        <v>224</v>
      </c>
      <c r="D76" s="113">
        <f>D46-D74</f>
        <v>68454.780000000028</v>
      </c>
      <c r="E76" s="135">
        <f>E46-E74</f>
        <v>-118201.03269261366</v>
      </c>
      <c r="F76" s="135">
        <f>F46-F74</f>
        <v>-167088.85602724424</v>
      </c>
      <c r="G76" s="135">
        <f>G46-G74</f>
        <v>-144137.76530650433</v>
      </c>
      <c r="H76" s="106"/>
      <c r="I76" s="138"/>
      <c r="J76" s="138"/>
      <c r="K76" s="138"/>
      <c r="L76" s="138"/>
      <c r="M76" s="138"/>
      <c r="N76" s="138"/>
      <c r="O76" s="138"/>
      <c r="P76" s="138"/>
      <c r="Q76" s="138"/>
      <c r="R76" s="138"/>
      <c r="S76" s="138"/>
      <c r="T76" s="138"/>
      <c r="U76" s="138"/>
      <c r="V76" s="138"/>
    </row>
    <row r="77" spans="2:23" ht="12.75" customHeight="1" x14ac:dyDescent="0.35">
      <c r="I77" s="138"/>
      <c r="J77" s="138"/>
      <c r="K77" s="138"/>
      <c r="L77" s="138"/>
      <c r="M77" s="138"/>
      <c r="N77" s="138"/>
      <c r="O77" s="138"/>
      <c r="P77" s="138"/>
      <c r="Q77" s="138"/>
      <c r="R77" s="138"/>
      <c r="S77" s="138"/>
      <c r="T77" s="138"/>
      <c r="U77" s="138"/>
      <c r="V77" s="138"/>
    </row>
    <row r="78" spans="2:23" ht="16.5" customHeight="1" x14ac:dyDescent="0.35"/>
    <row r="79" spans="2:23" ht="12.75" customHeight="1" x14ac:dyDescent="0.35">
      <c r="C79" s="78"/>
      <c r="D79" s="47">
        <v>43983</v>
      </c>
      <c r="E79" s="46">
        <v>44348</v>
      </c>
      <c r="F79" s="46">
        <v>44713</v>
      </c>
      <c r="G79" s="46">
        <v>45078</v>
      </c>
    </row>
    <row r="80" spans="2:23" ht="12.75" customHeight="1" x14ac:dyDescent="0.35">
      <c r="B80" s="31"/>
      <c r="C80" s="79"/>
      <c r="D80" s="9" t="s">
        <v>132</v>
      </c>
      <c r="E80" s="44" t="s">
        <v>132</v>
      </c>
      <c r="F80" s="9" t="s">
        <v>132</v>
      </c>
      <c r="G80" s="9" t="s">
        <v>132</v>
      </c>
    </row>
    <row r="81" spans="2:5" ht="12.75" customHeight="1" x14ac:dyDescent="0.35">
      <c r="B81" s="31"/>
      <c r="D81" s="31"/>
      <c r="E81" s="31"/>
    </row>
    <row r="82" spans="2:5" ht="12.75" customHeight="1" x14ac:dyDescent="0.35">
      <c r="B82" s="31"/>
      <c r="D82" s="31"/>
      <c r="E82" s="31"/>
    </row>
    <row r="83" spans="2:5" ht="12.75" customHeight="1" x14ac:dyDescent="0.35">
      <c r="B83" s="26"/>
      <c r="D83" s="31"/>
      <c r="E83" s="31"/>
    </row>
    <row r="84" spans="2:5" ht="27.75" customHeight="1" x14ac:dyDescent="0.35">
      <c r="B84" s="26"/>
      <c r="D84" s="31"/>
      <c r="E84" s="31"/>
    </row>
    <row r="85" spans="2:5" ht="12.75" customHeight="1" x14ac:dyDescent="0.35">
      <c r="B85" s="54"/>
      <c r="D85" s="31"/>
      <c r="E85" s="31"/>
    </row>
    <row r="86" spans="2:5" ht="12.75" customHeight="1" x14ac:dyDescent="0.35">
      <c r="B86" s="54"/>
      <c r="D86" s="31"/>
      <c r="E86" s="31"/>
    </row>
    <row r="87" spans="2:5" ht="12.75" customHeight="1" x14ac:dyDescent="0.35">
      <c r="B87" s="55"/>
      <c r="D87" s="31"/>
      <c r="E87" s="31"/>
    </row>
    <row r="88" spans="2:5" ht="12.75" customHeight="1" x14ac:dyDescent="0.35">
      <c r="B88" s="54"/>
      <c r="D88" s="31"/>
      <c r="E88" s="31"/>
    </row>
    <row r="89" spans="2:5" ht="12.75" customHeight="1" x14ac:dyDescent="0.35">
      <c r="B89" s="54"/>
      <c r="D89" s="31"/>
      <c r="E89" s="31"/>
    </row>
    <row r="90" spans="2:5" ht="12.75" customHeight="1" x14ac:dyDescent="0.35">
      <c r="B90" s="55"/>
      <c r="D90" s="31"/>
      <c r="E90" s="31"/>
    </row>
    <row r="91" spans="2:5" ht="12.75" customHeight="1" x14ac:dyDescent="0.35">
      <c r="B91" s="55"/>
      <c r="D91" s="31"/>
      <c r="E91" s="31"/>
    </row>
    <row r="92" spans="2:5" ht="12.75" customHeight="1" x14ac:dyDescent="0.35">
      <c r="B92" s="54"/>
      <c r="D92" s="31"/>
      <c r="E92" s="31"/>
    </row>
    <row r="93" spans="2:5" ht="12.75" customHeight="1" x14ac:dyDescent="0.35">
      <c r="B93" s="54"/>
      <c r="D93" s="31"/>
      <c r="E93" s="31"/>
    </row>
    <row r="94" spans="2:5" ht="12.75" customHeight="1" x14ac:dyDescent="0.35">
      <c r="B94" s="54"/>
      <c r="D94" s="31"/>
      <c r="E94" s="31"/>
    </row>
    <row r="95" spans="2:5" ht="12.75" customHeight="1" x14ac:dyDescent="0.35">
      <c r="B95" s="54"/>
      <c r="D95" s="31"/>
      <c r="E95" s="31"/>
    </row>
    <row r="96" spans="2:5" ht="12.75" customHeight="1" x14ac:dyDescent="0.35">
      <c r="B96" s="54"/>
      <c r="D96" s="31"/>
      <c r="E96" s="31"/>
    </row>
    <row r="97" spans="2:5" ht="12.75" customHeight="1" x14ac:dyDescent="0.35">
      <c r="B97" s="54"/>
      <c r="D97" s="31"/>
      <c r="E97" s="31"/>
    </row>
    <row r="98" spans="2:5" ht="12.75" customHeight="1" x14ac:dyDescent="0.35">
      <c r="B98" s="55"/>
      <c r="D98" s="31"/>
      <c r="E98" s="31"/>
    </row>
    <row r="99" spans="2:5" ht="12.75" customHeight="1" x14ac:dyDescent="0.35">
      <c r="B99" s="54"/>
      <c r="D99" s="31"/>
      <c r="E99" s="31"/>
    </row>
    <row r="100" spans="2:5" ht="12.75" customHeight="1" x14ac:dyDescent="0.35">
      <c r="B100" s="55"/>
      <c r="D100" s="31"/>
      <c r="E100" s="31"/>
    </row>
    <row r="101" spans="2:5" ht="12.75" customHeight="1" x14ac:dyDescent="0.35">
      <c r="B101" s="55"/>
      <c r="D101" s="31"/>
      <c r="E101" s="31"/>
    </row>
    <row r="102" spans="2:5" ht="12.75" customHeight="1" x14ac:dyDescent="0.35">
      <c r="B102" s="54"/>
      <c r="D102" s="31"/>
      <c r="E102" s="31"/>
    </row>
    <row r="103" spans="2:5" ht="12.75" customHeight="1" x14ac:dyDescent="0.35">
      <c r="B103" s="55"/>
      <c r="D103" s="31"/>
      <c r="E103" s="31"/>
    </row>
    <row r="104" spans="2:5" ht="12.75" customHeight="1" x14ac:dyDescent="0.35">
      <c r="B104" s="54"/>
      <c r="D104" s="31"/>
      <c r="E104" s="31"/>
    </row>
    <row r="105" spans="2:5" ht="12.75" customHeight="1" x14ac:dyDescent="0.35">
      <c r="B105" s="54"/>
      <c r="D105" s="31"/>
      <c r="E105" s="31"/>
    </row>
    <row r="106" spans="2:5" ht="12.75" customHeight="1" x14ac:dyDescent="0.35">
      <c r="B106" s="54"/>
      <c r="D106" s="31"/>
      <c r="E106" s="31"/>
    </row>
    <row r="107" spans="2:5" ht="12.75" customHeight="1" x14ac:dyDescent="0.35">
      <c r="B107" s="54"/>
      <c r="D107" s="31"/>
      <c r="E107" s="31"/>
    </row>
    <row r="108" spans="2:5" ht="12.75" customHeight="1" x14ac:dyDescent="0.35">
      <c r="B108" s="54"/>
      <c r="D108" s="31"/>
      <c r="E108" s="31"/>
    </row>
    <row r="109" spans="2:5" ht="12.75" customHeight="1" x14ac:dyDescent="0.35">
      <c r="B109" s="54"/>
      <c r="D109" s="31"/>
      <c r="E109" s="31"/>
    </row>
    <row r="110" spans="2:5" ht="12.75" customHeight="1" x14ac:dyDescent="0.35">
      <c r="B110" s="54"/>
      <c r="D110" s="31"/>
      <c r="E110" s="31"/>
    </row>
    <row r="111" spans="2:5" ht="12.75" customHeight="1" x14ac:dyDescent="0.35">
      <c r="B111" s="54"/>
      <c r="D111" s="31"/>
      <c r="E111" s="31"/>
    </row>
    <row r="112" spans="2:5" ht="12.75" customHeight="1" x14ac:dyDescent="0.35">
      <c r="B112" s="54"/>
      <c r="D112" s="31"/>
      <c r="E112" s="31"/>
    </row>
    <row r="113" spans="2:5" ht="12.75" customHeight="1" x14ac:dyDescent="0.35">
      <c r="B113" s="54"/>
      <c r="D113" s="31"/>
      <c r="E113" s="31"/>
    </row>
    <row r="114" spans="2:5" ht="12.75" customHeight="1" x14ac:dyDescent="0.35">
      <c r="B114" s="54"/>
      <c r="D114" s="31"/>
      <c r="E114" s="31"/>
    </row>
    <row r="115" spans="2:5" ht="12.75" customHeight="1" x14ac:dyDescent="0.35">
      <c r="B115" s="54"/>
      <c r="D115" s="31"/>
      <c r="E115" s="31"/>
    </row>
    <row r="116" spans="2:5" ht="12.75" customHeight="1" x14ac:dyDescent="0.35">
      <c r="B116" s="54"/>
      <c r="D116" s="31"/>
      <c r="E116" s="31"/>
    </row>
    <row r="117" spans="2:5" ht="12.75" customHeight="1" x14ac:dyDescent="0.35">
      <c r="B117" s="31"/>
      <c r="D117" s="31"/>
      <c r="E117" s="31"/>
    </row>
    <row r="118" spans="2:5" ht="12.75" customHeight="1" x14ac:dyDescent="0.35">
      <c r="B118" s="31"/>
      <c r="D118" s="31"/>
      <c r="E118" s="31"/>
    </row>
    <row r="119" spans="2:5" ht="12.75" customHeight="1" x14ac:dyDescent="0.35">
      <c r="B119" s="31"/>
      <c r="D119" s="31"/>
      <c r="E119" s="31"/>
    </row>
    <row r="120" spans="2:5" ht="12.75" customHeight="1" x14ac:dyDescent="0.35">
      <c r="B120" s="31"/>
      <c r="D120" s="31"/>
      <c r="E120" s="31"/>
    </row>
    <row r="121" spans="2:5" ht="12.75" customHeight="1" x14ac:dyDescent="0.35">
      <c r="B121" s="31"/>
      <c r="D121" s="31"/>
      <c r="E121" s="31"/>
    </row>
    <row r="122" spans="2:5" ht="12.75" customHeight="1" x14ac:dyDescent="0.35">
      <c r="B122" s="31"/>
      <c r="D122" s="31"/>
      <c r="E122" s="31"/>
    </row>
    <row r="123" spans="2:5" ht="12.75" customHeight="1" x14ac:dyDescent="0.35">
      <c r="B123" s="31"/>
      <c r="D123" s="31"/>
      <c r="E123" s="31"/>
    </row>
    <row r="124" spans="2:5" ht="12.75" customHeight="1" x14ac:dyDescent="0.35">
      <c r="B124" s="31"/>
      <c r="D124" s="31"/>
      <c r="E124" s="31"/>
    </row>
    <row r="125" spans="2:5" ht="12.75" customHeight="1" x14ac:dyDescent="0.35">
      <c r="B125" s="31"/>
      <c r="D125" s="31"/>
      <c r="E125" s="31"/>
    </row>
    <row r="126" spans="2:5" ht="12.75" customHeight="1" x14ac:dyDescent="0.35">
      <c r="B126" s="31"/>
      <c r="D126" s="31"/>
      <c r="E126" s="31"/>
    </row>
    <row r="127" spans="2:5" ht="12.75" customHeight="1" x14ac:dyDescent="0.35">
      <c r="B127" s="31"/>
      <c r="D127" s="31"/>
      <c r="E127" s="31"/>
    </row>
    <row r="128" spans="2:5" ht="12.75" customHeight="1" x14ac:dyDescent="0.35">
      <c r="B128" s="31"/>
      <c r="D128" s="31"/>
      <c r="E128" s="31"/>
    </row>
    <row r="129" spans="2:5" ht="12.75" customHeight="1" x14ac:dyDescent="0.35">
      <c r="B129" s="31"/>
      <c r="D129" s="31"/>
      <c r="E129" s="31"/>
    </row>
    <row r="130" spans="2:5" ht="12.75" customHeight="1" x14ac:dyDescent="0.35">
      <c r="B130" s="31"/>
      <c r="D130" s="31"/>
      <c r="E130" s="31"/>
    </row>
    <row r="131" spans="2:5" ht="12.75" customHeight="1" x14ac:dyDescent="0.35">
      <c r="B131" s="31"/>
      <c r="D131" s="31"/>
      <c r="E131" s="31"/>
    </row>
    <row r="132" spans="2:5" ht="12.75" customHeight="1" x14ac:dyDescent="0.35">
      <c r="B132" s="31"/>
      <c r="D132" s="31"/>
      <c r="E132" s="31"/>
    </row>
    <row r="133" spans="2:5" ht="12.75" customHeight="1" x14ac:dyDescent="0.35">
      <c r="B133" s="31"/>
      <c r="D133" s="31"/>
      <c r="E133" s="31"/>
    </row>
    <row r="134" spans="2:5" ht="12.75" customHeight="1" x14ac:dyDescent="0.35">
      <c r="B134" s="31"/>
      <c r="D134" s="31"/>
      <c r="E134" s="31"/>
    </row>
    <row r="135" spans="2:5" ht="12.75" customHeight="1" x14ac:dyDescent="0.35">
      <c r="B135" s="31"/>
      <c r="D135" s="31"/>
      <c r="E135" s="31"/>
    </row>
    <row r="136" spans="2:5" ht="12.75" customHeight="1" x14ac:dyDescent="0.35">
      <c r="B136" s="31"/>
      <c r="D136" s="31"/>
      <c r="E136" s="31"/>
    </row>
    <row r="137" spans="2:5" ht="12.75" customHeight="1" x14ac:dyDescent="0.35">
      <c r="B137" s="31"/>
      <c r="D137" s="31"/>
      <c r="E137" s="31"/>
    </row>
    <row r="138" spans="2:5" ht="12.75" customHeight="1" x14ac:dyDescent="0.35">
      <c r="B138" s="31"/>
      <c r="D138" s="31"/>
      <c r="E138" s="31"/>
    </row>
    <row r="139" spans="2:5" ht="12.75" customHeight="1" x14ac:dyDescent="0.35">
      <c r="B139" s="31"/>
      <c r="D139" s="31"/>
      <c r="E139" s="31"/>
    </row>
    <row r="140" spans="2:5" ht="12.75" customHeight="1" x14ac:dyDescent="0.35">
      <c r="B140" s="31"/>
      <c r="D140" s="31"/>
      <c r="E140" s="31"/>
    </row>
    <row r="141" spans="2:5" ht="12.75" customHeight="1" x14ac:dyDescent="0.35">
      <c r="B141" s="31"/>
      <c r="D141" s="31"/>
      <c r="E141" s="31"/>
    </row>
    <row r="142" spans="2:5" ht="12.75" customHeight="1" x14ac:dyDescent="0.35">
      <c r="B142" s="31"/>
      <c r="D142" s="31"/>
      <c r="E142" s="31"/>
    </row>
    <row r="143" spans="2:5" ht="12.75" customHeight="1" x14ac:dyDescent="0.35">
      <c r="B143" s="31"/>
      <c r="D143" s="31"/>
      <c r="E143" s="31"/>
    </row>
    <row r="144" spans="2:5" ht="12.75" customHeight="1" x14ac:dyDescent="0.35">
      <c r="B144" s="31"/>
      <c r="D144" s="31"/>
      <c r="E144" s="31"/>
    </row>
    <row r="145" spans="2:5" ht="12.75" customHeight="1" x14ac:dyDescent="0.35">
      <c r="B145" s="31"/>
      <c r="D145" s="31"/>
      <c r="E145" s="31"/>
    </row>
    <row r="146" spans="2:5" ht="12.75" customHeight="1" x14ac:dyDescent="0.35">
      <c r="B146" s="31"/>
      <c r="D146" s="31"/>
      <c r="E146" s="31"/>
    </row>
    <row r="147" spans="2:5" ht="12.75" customHeight="1" x14ac:dyDescent="0.35">
      <c r="B147" s="31"/>
      <c r="D147" s="31"/>
      <c r="E147" s="31"/>
    </row>
    <row r="148" spans="2:5" ht="12.75" customHeight="1" x14ac:dyDescent="0.35">
      <c r="B148" s="31"/>
      <c r="D148" s="31"/>
      <c r="E148" s="31"/>
    </row>
    <row r="149" spans="2:5" ht="12.75" customHeight="1" x14ac:dyDescent="0.35">
      <c r="B149" s="31"/>
      <c r="D149" s="31"/>
      <c r="E149" s="31"/>
    </row>
    <row r="150" spans="2:5" ht="12.75" customHeight="1" x14ac:dyDescent="0.35">
      <c r="B150" s="31"/>
      <c r="D150" s="31"/>
      <c r="E150" s="31"/>
    </row>
    <row r="151" spans="2:5" ht="12.75" customHeight="1" x14ac:dyDescent="0.35">
      <c r="B151" s="31"/>
      <c r="D151" s="31"/>
      <c r="E151" s="31"/>
    </row>
    <row r="152" spans="2:5" ht="12.75" customHeight="1" x14ac:dyDescent="0.35">
      <c r="B152" s="31"/>
      <c r="D152" s="31"/>
      <c r="E152" s="31"/>
    </row>
    <row r="153" spans="2:5" ht="12.75" customHeight="1" x14ac:dyDescent="0.35">
      <c r="B153" s="31"/>
      <c r="D153" s="31"/>
      <c r="E153" s="31"/>
    </row>
    <row r="154" spans="2:5" ht="12.75" customHeight="1" x14ac:dyDescent="0.35">
      <c r="B154" s="31"/>
      <c r="D154" s="31"/>
      <c r="E154" s="31"/>
    </row>
    <row r="155" spans="2:5" ht="12.75" customHeight="1" x14ac:dyDescent="0.35">
      <c r="B155" s="31"/>
      <c r="D155" s="31"/>
      <c r="E155" s="31"/>
    </row>
    <row r="156" spans="2:5" ht="12.75" customHeight="1" x14ac:dyDescent="0.35">
      <c r="B156" s="31"/>
      <c r="D156" s="31"/>
      <c r="E156" s="31"/>
    </row>
    <row r="157" spans="2:5" ht="12.75" customHeight="1" x14ac:dyDescent="0.35">
      <c r="B157" s="31"/>
      <c r="D157" s="31"/>
      <c r="E157" s="31"/>
    </row>
    <row r="158" spans="2:5" ht="12.75" customHeight="1" x14ac:dyDescent="0.35">
      <c r="B158" s="31"/>
      <c r="D158" s="31"/>
      <c r="E158" s="31"/>
    </row>
    <row r="159" spans="2:5" ht="12.75" customHeight="1" x14ac:dyDescent="0.35">
      <c r="B159" s="31"/>
      <c r="D159" s="31"/>
      <c r="E159" s="31"/>
    </row>
    <row r="160" spans="2:5" ht="12.75" customHeight="1" x14ac:dyDescent="0.35">
      <c r="B160" s="31"/>
      <c r="D160" s="31"/>
      <c r="E160" s="31"/>
    </row>
    <row r="161" spans="2:5" ht="12.75" customHeight="1" x14ac:dyDescent="0.35">
      <c r="B161" s="31"/>
      <c r="D161" s="31"/>
      <c r="E161" s="31"/>
    </row>
    <row r="162" spans="2:5" ht="12.75" customHeight="1" x14ac:dyDescent="0.35">
      <c r="B162" s="31"/>
      <c r="D162" s="31"/>
      <c r="E162" s="31"/>
    </row>
    <row r="163" spans="2:5" ht="12.75" customHeight="1" x14ac:dyDescent="0.35">
      <c r="B163" s="31"/>
      <c r="D163" s="31"/>
      <c r="E163" s="31"/>
    </row>
    <row r="164" spans="2:5" ht="12.75" customHeight="1" x14ac:dyDescent="0.35">
      <c r="B164" s="31"/>
      <c r="D164" s="31"/>
      <c r="E164" s="31"/>
    </row>
    <row r="165" spans="2:5" ht="12.75" customHeight="1" x14ac:dyDescent="0.35">
      <c r="B165" s="31"/>
      <c r="D165" s="31"/>
      <c r="E165" s="31"/>
    </row>
    <row r="166" spans="2:5" ht="12.75" customHeight="1" x14ac:dyDescent="0.35">
      <c r="B166" s="31"/>
      <c r="D166" s="31"/>
      <c r="E166" s="31"/>
    </row>
    <row r="167" spans="2:5" ht="12.75" customHeight="1" x14ac:dyDescent="0.35">
      <c r="B167" s="31"/>
      <c r="D167" s="31"/>
      <c r="E167" s="31"/>
    </row>
    <row r="168" spans="2:5" ht="12.75" customHeight="1" x14ac:dyDescent="0.35">
      <c r="B168" s="31"/>
      <c r="D168" s="31"/>
      <c r="E168" s="31"/>
    </row>
    <row r="169" spans="2:5" ht="12.75" customHeight="1" x14ac:dyDescent="0.35">
      <c r="B169" s="31"/>
      <c r="D169" s="31"/>
      <c r="E169" s="31"/>
    </row>
    <row r="170" spans="2:5" ht="12.75" customHeight="1" x14ac:dyDescent="0.35">
      <c r="B170" s="31"/>
      <c r="D170" s="31"/>
      <c r="E170" s="31"/>
    </row>
    <row r="171" spans="2:5" ht="12.75" customHeight="1" x14ac:dyDescent="0.35">
      <c r="B171" s="31"/>
      <c r="D171" s="31"/>
      <c r="E171" s="31"/>
    </row>
    <row r="172" spans="2:5" ht="12.75" customHeight="1" x14ac:dyDescent="0.35">
      <c r="B172" s="31"/>
      <c r="D172" s="31"/>
      <c r="E172" s="31"/>
    </row>
    <row r="173" spans="2:5" ht="12.75" customHeight="1" x14ac:dyDescent="0.35">
      <c r="B173" s="31"/>
      <c r="D173" s="31"/>
      <c r="E173" s="31"/>
    </row>
    <row r="174" spans="2:5" ht="12.75" customHeight="1" x14ac:dyDescent="0.35">
      <c r="B174" s="31"/>
      <c r="D174" s="31"/>
      <c r="E174" s="31"/>
    </row>
    <row r="175" spans="2:5" ht="12.75" customHeight="1" x14ac:dyDescent="0.35">
      <c r="B175" s="31"/>
      <c r="D175" s="31"/>
      <c r="E175" s="31"/>
    </row>
    <row r="176" spans="2:5" ht="12.75" customHeight="1" x14ac:dyDescent="0.35">
      <c r="B176" s="31"/>
      <c r="D176" s="31"/>
      <c r="E176" s="31"/>
    </row>
    <row r="177" spans="2:5" ht="12.75" customHeight="1" x14ac:dyDescent="0.35">
      <c r="B177" s="31"/>
      <c r="D177" s="31"/>
      <c r="E177" s="31"/>
    </row>
    <row r="178" spans="2:5" ht="12.75" customHeight="1" x14ac:dyDescent="0.35">
      <c r="B178" s="31"/>
      <c r="D178" s="31"/>
      <c r="E178" s="31"/>
    </row>
    <row r="179" spans="2:5" ht="12.75" customHeight="1" x14ac:dyDescent="0.35">
      <c r="B179" s="31"/>
      <c r="D179" s="31"/>
      <c r="E179" s="31"/>
    </row>
    <row r="180" spans="2:5" ht="12.75" customHeight="1" x14ac:dyDescent="0.35">
      <c r="B180" s="31"/>
      <c r="D180" s="31"/>
      <c r="E180" s="31"/>
    </row>
    <row r="181" spans="2:5" ht="12.75" customHeight="1" x14ac:dyDescent="0.35">
      <c r="B181" s="31"/>
      <c r="D181" s="31"/>
      <c r="E181" s="31"/>
    </row>
    <row r="182" spans="2:5" ht="12.75" customHeight="1" x14ac:dyDescent="0.35">
      <c r="B182" s="31"/>
      <c r="D182" s="31"/>
      <c r="E182" s="31"/>
    </row>
    <row r="183" spans="2:5" ht="12.75" customHeight="1" x14ac:dyDescent="0.35">
      <c r="B183" s="31"/>
      <c r="D183" s="31"/>
      <c r="E183" s="31"/>
    </row>
    <row r="184" spans="2:5" ht="12.75" customHeight="1" x14ac:dyDescent="0.35">
      <c r="B184" s="31"/>
      <c r="D184" s="31"/>
      <c r="E184" s="31"/>
    </row>
    <row r="185" spans="2:5" ht="12.75" customHeight="1" x14ac:dyDescent="0.35">
      <c r="B185" s="31"/>
      <c r="D185" s="31"/>
      <c r="E185" s="31"/>
    </row>
    <row r="186" spans="2:5" ht="12.75" customHeight="1" x14ac:dyDescent="0.35">
      <c r="B186" s="31"/>
      <c r="D186" s="31"/>
      <c r="E186" s="31"/>
    </row>
    <row r="187" spans="2:5" ht="12.75" customHeight="1" x14ac:dyDescent="0.35">
      <c r="B187" s="31"/>
      <c r="D187" s="31"/>
      <c r="E187" s="31"/>
    </row>
    <row r="188" spans="2:5" ht="12.75" customHeight="1" x14ac:dyDescent="0.35">
      <c r="B188" s="31"/>
      <c r="D188" s="31"/>
      <c r="E188" s="31"/>
    </row>
    <row r="189" spans="2:5" ht="12.75" customHeight="1" x14ac:dyDescent="0.35">
      <c r="B189" s="31"/>
      <c r="D189" s="31"/>
      <c r="E189" s="31"/>
    </row>
    <row r="190" spans="2:5" ht="12.75" customHeight="1" x14ac:dyDescent="0.35">
      <c r="B190" s="31"/>
      <c r="D190" s="31"/>
      <c r="E190" s="31"/>
    </row>
    <row r="191" spans="2:5" ht="12.75" customHeight="1" x14ac:dyDescent="0.35">
      <c r="B191" s="31"/>
      <c r="D191" s="31"/>
      <c r="E191" s="31"/>
    </row>
    <row r="192" spans="2:5" ht="12.75" customHeight="1" x14ac:dyDescent="0.35">
      <c r="B192" s="31"/>
      <c r="D192" s="31"/>
      <c r="E192" s="31"/>
    </row>
    <row r="193" spans="2:5" ht="12.75" customHeight="1" x14ac:dyDescent="0.35">
      <c r="B193" s="31"/>
      <c r="D193" s="31"/>
      <c r="E193" s="31"/>
    </row>
    <row r="194" spans="2:5" ht="12.75" customHeight="1" x14ac:dyDescent="0.35">
      <c r="B194" s="31"/>
      <c r="D194" s="31"/>
      <c r="E194" s="31"/>
    </row>
    <row r="195" spans="2:5" ht="12.75" customHeight="1" x14ac:dyDescent="0.35">
      <c r="B195" s="31"/>
      <c r="D195" s="31"/>
      <c r="E195" s="31"/>
    </row>
    <row r="196" spans="2:5" ht="12.75" customHeight="1" x14ac:dyDescent="0.35">
      <c r="B196" s="31"/>
      <c r="D196" s="31"/>
      <c r="E196" s="31"/>
    </row>
    <row r="197" spans="2:5" ht="12.75" customHeight="1" x14ac:dyDescent="0.35">
      <c r="B197" s="31"/>
      <c r="D197" s="31"/>
      <c r="E197" s="31"/>
    </row>
    <row r="198" spans="2:5" ht="12.75" customHeight="1" x14ac:dyDescent="0.35">
      <c r="B198" s="31"/>
      <c r="D198" s="31"/>
      <c r="E198" s="31"/>
    </row>
    <row r="199" spans="2:5" ht="12.75" customHeight="1" x14ac:dyDescent="0.35">
      <c r="B199" s="31"/>
      <c r="D199" s="31"/>
      <c r="E199" s="31"/>
    </row>
    <row r="200" spans="2:5" ht="12.75" customHeight="1" x14ac:dyDescent="0.35">
      <c r="B200" s="31"/>
      <c r="D200" s="31"/>
      <c r="E200" s="31"/>
    </row>
    <row r="201" spans="2:5" ht="12.75" customHeight="1" x14ac:dyDescent="0.35">
      <c r="B201" s="31"/>
      <c r="D201" s="31"/>
      <c r="E201" s="31"/>
    </row>
    <row r="202" spans="2:5" ht="12.75" customHeight="1" x14ac:dyDescent="0.35">
      <c r="B202" s="31"/>
      <c r="D202" s="31"/>
      <c r="E202" s="31"/>
    </row>
    <row r="203" spans="2:5" ht="12.75" customHeight="1" x14ac:dyDescent="0.35">
      <c r="B203" s="31"/>
      <c r="D203" s="31"/>
      <c r="E203" s="31"/>
    </row>
    <row r="204" spans="2:5" ht="12.75" customHeight="1" x14ac:dyDescent="0.35">
      <c r="B204" s="31"/>
      <c r="D204" s="31"/>
      <c r="E204" s="31"/>
    </row>
    <row r="205" spans="2:5" ht="12.75" customHeight="1" x14ac:dyDescent="0.35">
      <c r="B205" s="31"/>
      <c r="D205" s="31"/>
      <c r="E205" s="31"/>
    </row>
    <row r="206" spans="2:5" ht="12.75" customHeight="1" x14ac:dyDescent="0.35">
      <c r="B206" s="31"/>
      <c r="D206" s="31"/>
      <c r="E206" s="31"/>
    </row>
    <row r="207" spans="2:5" ht="12.75" customHeight="1" x14ac:dyDescent="0.35">
      <c r="B207" s="31"/>
      <c r="D207" s="31"/>
      <c r="E207" s="31"/>
    </row>
    <row r="208" spans="2:5" ht="12.75" customHeight="1" x14ac:dyDescent="0.35">
      <c r="B208" s="31"/>
      <c r="D208" s="31"/>
      <c r="E208" s="31"/>
    </row>
    <row r="209" spans="2:5" ht="12.75" customHeight="1" x14ac:dyDescent="0.35">
      <c r="B209" s="31"/>
      <c r="D209" s="31"/>
      <c r="E209" s="31"/>
    </row>
    <row r="210" spans="2:5" ht="12.75" customHeight="1" x14ac:dyDescent="0.35">
      <c r="B210" s="31"/>
      <c r="D210" s="31"/>
      <c r="E210" s="31"/>
    </row>
    <row r="211" spans="2:5" ht="12.75" customHeight="1" x14ac:dyDescent="0.35">
      <c r="B211" s="31"/>
      <c r="D211" s="31"/>
      <c r="E211" s="31"/>
    </row>
    <row r="212" spans="2:5" ht="12.75" customHeight="1" x14ac:dyDescent="0.35">
      <c r="B212" s="31"/>
      <c r="D212" s="31"/>
      <c r="E212" s="31"/>
    </row>
    <row r="213" spans="2:5" ht="12.75" customHeight="1" x14ac:dyDescent="0.35">
      <c r="B213" s="31"/>
      <c r="D213" s="31"/>
      <c r="E213" s="31"/>
    </row>
    <row r="214" spans="2:5" ht="12.75" customHeight="1" x14ac:dyDescent="0.35">
      <c r="B214" s="31"/>
      <c r="D214" s="31"/>
      <c r="E214" s="31"/>
    </row>
    <row r="215" spans="2:5" ht="12.75" customHeight="1" x14ac:dyDescent="0.35">
      <c r="B215" s="31"/>
      <c r="D215" s="31"/>
      <c r="E215" s="31"/>
    </row>
    <row r="216" spans="2:5" ht="12.75" customHeight="1" x14ac:dyDescent="0.35">
      <c r="B216" s="31"/>
      <c r="D216" s="31"/>
      <c r="E216" s="31"/>
    </row>
    <row r="217" spans="2:5" ht="12.75" customHeight="1" x14ac:dyDescent="0.35">
      <c r="B217" s="31"/>
      <c r="D217" s="31"/>
      <c r="E217" s="31"/>
    </row>
    <row r="218" spans="2:5" ht="12.75" customHeight="1" x14ac:dyDescent="0.35">
      <c r="B218" s="31"/>
      <c r="D218" s="31"/>
      <c r="E218" s="31"/>
    </row>
    <row r="219" spans="2:5" ht="12.75" customHeight="1" x14ac:dyDescent="0.35">
      <c r="B219" s="31"/>
      <c r="D219" s="31"/>
      <c r="E219" s="31"/>
    </row>
    <row r="220" spans="2:5" ht="12.75" customHeight="1" x14ac:dyDescent="0.35">
      <c r="B220" s="31"/>
      <c r="D220" s="31"/>
      <c r="E220" s="31"/>
    </row>
    <row r="221" spans="2:5" ht="12.75" customHeight="1" x14ac:dyDescent="0.35">
      <c r="B221" s="31"/>
      <c r="D221" s="31"/>
      <c r="E221" s="31"/>
    </row>
    <row r="222" spans="2:5" ht="12.75" customHeight="1" x14ac:dyDescent="0.35">
      <c r="B222" s="31"/>
      <c r="D222" s="31"/>
      <c r="E222" s="31"/>
    </row>
    <row r="223" spans="2:5" ht="12.75" customHeight="1" x14ac:dyDescent="0.35">
      <c r="B223" s="31"/>
      <c r="D223" s="31"/>
      <c r="E223" s="31"/>
    </row>
    <row r="224" spans="2:5" ht="12.75" customHeight="1" x14ac:dyDescent="0.35">
      <c r="B224" s="31"/>
      <c r="D224" s="31"/>
      <c r="E224" s="31"/>
    </row>
    <row r="225" spans="2:5" ht="12.75" customHeight="1" x14ac:dyDescent="0.35">
      <c r="B225" s="31"/>
      <c r="D225" s="31"/>
      <c r="E225" s="31"/>
    </row>
    <row r="226" spans="2:5" ht="12.75" customHeight="1" x14ac:dyDescent="0.35">
      <c r="B226" s="31"/>
      <c r="D226" s="31"/>
      <c r="E226" s="31"/>
    </row>
    <row r="227" spans="2:5" ht="12.75" customHeight="1" x14ac:dyDescent="0.35">
      <c r="B227" s="31"/>
      <c r="D227" s="31"/>
      <c r="E227" s="31"/>
    </row>
    <row r="228" spans="2:5" ht="12.75" customHeight="1" x14ac:dyDescent="0.35">
      <c r="B228" s="31"/>
      <c r="D228" s="31"/>
      <c r="E228" s="31"/>
    </row>
    <row r="229" spans="2:5" ht="12.75" customHeight="1" x14ac:dyDescent="0.35">
      <c r="B229" s="31"/>
      <c r="D229" s="31"/>
      <c r="E229" s="31"/>
    </row>
    <row r="230" spans="2:5" ht="12.75" customHeight="1" x14ac:dyDescent="0.35">
      <c r="B230" s="31"/>
      <c r="D230" s="31"/>
      <c r="E230" s="31"/>
    </row>
    <row r="231" spans="2:5" ht="12.75" customHeight="1" x14ac:dyDescent="0.35">
      <c r="B231" s="31"/>
      <c r="D231" s="31"/>
      <c r="E231" s="31"/>
    </row>
    <row r="232" spans="2:5" ht="12.75" customHeight="1" x14ac:dyDescent="0.35">
      <c r="B232" s="31"/>
      <c r="D232" s="31"/>
      <c r="E232" s="31"/>
    </row>
    <row r="233" spans="2:5" ht="12.75" customHeight="1" x14ac:dyDescent="0.35">
      <c r="B233" s="31"/>
      <c r="D233" s="31"/>
      <c r="E233" s="31"/>
    </row>
    <row r="234" spans="2:5" ht="12.75" customHeight="1" x14ac:dyDescent="0.35">
      <c r="B234" s="31"/>
      <c r="D234" s="31"/>
      <c r="E234" s="31"/>
    </row>
    <row r="235" spans="2:5" ht="12.75" customHeight="1" x14ac:dyDescent="0.35">
      <c r="B235" s="31"/>
      <c r="D235" s="31"/>
      <c r="E235" s="31"/>
    </row>
    <row r="236" spans="2:5" ht="12.75" customHeight="1" x14ac:dyDescent="0.35">
      <c r="B236" s="31"/>
      <c r="D236" s="31"/>
      <c r="E236" s="31"/>
    </row>
    <row r="237" spans="2:5" ht="12.75" customHeight="1" x14ac:dyDescent="0.35">
      <c r="B237" s="31"/>
      <c r="D237" s="31"/>
      <c r="E237" s="31"/>
    </row>
    <row r="238" spans="2:5" ht="12.75" customHeight="1" x14ac:dyDescent="0.35">
      <c r="B238" s="31"/>
      <c r="D238" s="31"/>
      <c r="E238" s="31"/>
    </row>
    <row r="239" spans="2:5" ht="12.75" customHeight="1" x14ac:dyDescent="0.35">
      <c r="B239" s="31"/>
      <c r="D239" s="31"/>
      <c r="E239" s="31"/>
    </row>
    <row r="240" spans="2:5" ht="12.75" customHeight="1" x14ac:dyDescent="0.35">
      <c r="B240" s="31"/>
      <c r="D240" s="31"/>
      <c r="E240" s="31"/>
    </row>
    <row r="241" spans="2:5" ht="12.75" customHeight="1" x14ac:dyDescent="0.35">
      <c r="B241" s="31"/>
      <c r="D241" s="31"/>
      <c r="E241" s="31"/>
    </row>
    <row r="242" spans="2:5" ht="12.75" customHeight="1" x14ac:dyDescent="0.35">
      <c r="B242" s="31"/>
      <c r="D242" s="31"/>
      <c r="E242" s="31"/>
    </row>
    <row r="243" spans="2:5" ht="12.75" customHeight="1" x14ac:dyDescent="0.35">
      <c r="B243" s="31"/>
      <c r="D243" s="31"/>
      <c r="E243" s="31"/>
    </row>
    <row r="244" spans="2:5" ht="12.75" customHeight="1" x14ac:dyDescent="0.35">
      <c r="B244" s="31"/>
      <c r="D244" s="31"/>
      <c r="E244" s="31"/>
    </row>
    <row r="245" spans="2:5" ht="12.75" customHeight="1" x14ac:dyDescent="0.35">
      <c r="B245" s="31"/>
      <c r="D245" s="31"/>
      <c r="E245" s="31"/>
    </row>
    <row r="246" spans="2:5" ht="12.75" customHeight="1" x14ac:dyDescent="0.35">
      <c r="B246" s="31"/>
      <c r="D246" s="31"/>
      <c r="E246" s="31"/>
    </row>
    <row r="247" spans="2:5" ht="12.75" customHeight="1" x14ac:dyDescent="0.35">
      <c r="B247" s="31"/>
      <c r="D247" s="31"/>
      <c r="E247" s="31"/>
    </row>
    <row r="248" spans="2:5" ht="12.75" customHeight="1" x14ac:dyDescent="0.35">
      <c r="B248" s="31"/>
      <c r="D248" s="31"/>
      <c r="E248" s="31"/>
    </row>
    <row r="249" spans="2:5" ht="12.75" customHeight="1" x14ac:dyDescent="0.35">
      <c r="B249" s="31"/>
      <c r="D249" s="31"/>
      <c r="E249" s="31"/>
    </row>
    <row r="250" spans="2:5" ht="12.75" customHeight="1" x14ac:dyDescent="0.35">
      <c r="B250" s="31"/>
      <c r="D250" s="31"/>
      <c r="E250" s="31"/>
    </row>
    <row r="251" spans="2:5" ht="12.75" customHeight="1" x14ac:dyDescent="0.35">
      <c r="B251" s="31"/>
      <c r="D251" s="31"/>
      <c r="E251" s="31"/>
    </row>
    <row r="252" spans="2:5" ht="12.75" customHeight="1" x14ac:dyDescent="0.35">
      <c r="B252" s="31"/>
      <c r="D252" s="31"/>
      <c r="E252" s="31"/>
    </row>
    <row r="253" spans="2:5" ht="12.75" customHeight="1" x14ac:dyDescent="0.35">
      <c r="B253" s="31"/>
      <c r="D253" s="31"/>
      <c r="E253" s="31"/>
    </row>
    <row r="254" spans="2:5" ht="12.75" customHeight="1" x14ac:dyDescent="0.35">
      <c r="B254" s="31"/>
      <c r="D254" s="31"/>
      <c r="E254" s="31"/>
    </row>
    <row r="255" spans="2:5" ht="12.75" customHeight="1" x14ac:dyDescent="0.35">
      <c r="B255" s="31"/>
      <c r="D255" s="31"/>
      <c r="E255" s="31"/>
    </row>
    <row r="256" spans="2:5" ht="12.75" customHeight="1" x14ac:dyDescent="0.35">
      <c r="B256" s="31"/>
      <c r="D256" s="31"/>
      <c r="E256" s="31"/>
    </row>
    <row r="257" spans="2:5" ht="12.75" customHeight="1" x14ac:dyDescent="0.35">
      <c r="B257" s="31"/>
      <c r="D257" s="31"/>
      <c r="E257" s="31"/>
    </row>
    <row r="258" spans="2:5" ht="12.75" customHeight="1" x14ac:dyDescent="0.35">
      <c r="B258" s="31"/>
      <c r="D258" s="31"/>
      <c r="E258" s="31"/>
    </row>
    <row r="259" spans="2:5" ht="12.75" customHeight="1" x14ac:dyDescent="0.35">
      <c r="B259" s="31"/>
      <c r="D259" s="31"/>
      <c r="E259" s="31"/>
    </row>
    <row r="260" spans="2:5" ht="12.75" customHeight="1" x14ac:dyDescent="0.35">
      <c r="B260" s="31"/>
      <c r="D260" s="31"/>
      <c r="E260" s="31"/>
    </row>
    <row r="261" spans="2:5" ht="12.75" customHeight="1" x14ac:dyDescent="0.35">
      <c r="B261" s="31"/>
      <c r="D261" s="31"/>
      <c r="E261" s="31"/>
    </row>
    <row r="262" spans="2:5" ht="12.75" customHeight="1" x14ac:dyDescent="0.35">
      <c r="B262" s="31"/>
      <c r="D262" s="31"/>
      <c r="E262" s="31"/>
    </row>
    <row r="263" spans="2:5" ht="12.75" customHeight="1" x14ac:dyDescent="0.35">
      <c r="B263" s="31"/>
      <c r="D263" s="31"/>
      <c r="E263" s="31"/>
    </row>
    <row r="264" spans="2:5" ht="12.75" customHeight="1" x14ac:dyDescent="0.35">
      <c r="B264" s="31"/>
      <c r="D264" s="31"/>
      <c r="E264" s="31"/>
    </row>
    <row r="265" spans="2:5" ht="12.75" customHeight="1" x14ac:dyDescent="0.35">
      <c r="B265" s="31"/>
      <c r="D265" s="31"/>
      <c r="E265" s="31"/>
    </row>
    <row r="266" spans="2:5" ht="12.75" customHeight="1" x14ac:dyDescent="0.35">
      <c r="B266" s="31"/>
      <c r="D266" s="31"/>
      <c r="E266" s="31"/>
    </row>
    <row r="267" spans="2:5" ht="12.75" customHeight="1" x14ac:dyDescent="0.35">
      <c r="B267" s="31"/>
      <c r="D267" s="31"/>
      <c r="E267" s="31"/>
    </row>
    <row r="268" spans="2:5" ht="12.75" customHeight="1" x14ac:dyDescent="0.35">
      <c r="B268" s="31"/>
      <c r="D268" s="31"/>
      <c r="E268" s="31"/>
    </row>
    <row r="269" spans="2:5" ht="12.75" customHeight="1" x14ac:dyDescent="0.35">
      <c r="B269" s="31"/>
      <c r="D269" s="31"/>
      <c r="E269" s="31"/>
    </row>
    <row r="270" spans="2:5" ht="12.75" customHeight="1" x14ac:dyDescent="0.35">
      <c r="B270" s="31"/>
      <c r="D270" s="31"/>
      <c r="E270" s="31"/>
    </row>
    <row r="271" spans="2:5" ht="12.75" customHeight="1" x14ac:dyDescent="0.35">
      <c r="B271" s="31"/>
      <c r="D271" s="31"/>
      <c r="E271" s="31"/>
    </row>
    <row r="272" spans="2:5" ht="12.75" customHeight="1" x14ac:dyDescent="0.35">
      <c r="B272" s="31"/>
      <c r="D272" s="31"/>
      <c r="E272" s="31"/>
    </row>
    <row r="273" spans="2:5" ht="12.75" customHeight="1" x14ac:dyDescent="0.35">
      <c r="B273" s="31"/>
      <c r="D273" s="31"/>
      <c r="E273" s="31"/>
    </row>
    <row r="274" spans="2:5" ht="12.75" customHeight="1" x14ac:dyDescent="0.35">
      <c r="B274" s="31"/>
      <c r="D274" s="31"/>
      <c r="E274" s="31"/>
    </row>
    <row r="275" spans="2:5" ht="12.75" customHeight="1" x14ac:dyDescent="0.35">
      <c r="B275" s="31"/>
      <c r="D275" s="31"/>
      <c r="E275" s="31"/>
    </row>
    <row r="276" spans="2:5" ht="12.75" customHeight="1" x14ac:dyDescent="0.35">
      <c r="B276" s="31"/>
      <c r="D276" s="31"/>
      <c r="E276" s="31"/>
    </row>
    <row r="277" spans="2:5" ht="12.75" customHeight="1" x14ac:dyDescent="0.35">
      <c r="B277" s="31"/>
      <c r="D277" s="31"/>
      <c r="E277" s="31"/>
    </row>
    <row r="278" spans="2:5" ht="12.75" customHeight="1" x14ac:dyDescent="0.35">
      <c r="B278" s="31"/>
      <c r="D278" s="31"/>
      <c r="E278" s="31"/>
    </row>
    <row r="279" spans="2:5" ht="12.75" customHeight="1" x14ac:dyDescent="0.35">
      <c r="B279" s="31"/>
      <c r="D279" s="31"/>
      <c r="E279" s="31"/>
    </row>
    <row r="280" spans="2:5" ht="12.75" customHeight="1" x14ac:dyDescent="0.35">
      <c r="B280" s="31"/>
      <c r="D280" s="31"/>
      <c r="E280" s="31"/>
    </row>
    <row r="281" spans="2:5" ht="12.75" customHeight="1" x14ac:dyDescent="0.35">
      <c r="B281" s="31"/>
      <c r="D281" s="31"/>
      <c r="E281" s="31"/>
    </row>
    <row r="282" spans="2:5" ht="12.75" customHeight="1" x14ac:dyDescent="0.35">
      <c r="B282" s="31"/>
      <c r="D282" s="31"/>
      <c r="E282" s="31"/>
    </row>
    <row r="283" spans="2:5" ht="12.75" customHeight="1" x14ac:dyDescent="0.35">
      <c r="B283" s="31"/>
      <c r="D283" s="31"/>
      <c r="E283" s="31"/>
    </row>
    <row r="284" spans="2:5" ht="12.75" customHeight="1" x14ac:dyDescent="0.35">
      <c r="B284" s="31"/>
      <c r="D284" s="31"/>
      <c r="E284" s="31"/>
    </row>
    <row r="285" spans="2:5" ht="12.75" customHeight="1" x14ac:dyDescent="0.35">
      <c r="B285" s="31"/>
      <c r="D285" s="31"/>
      <c r="E285" s="31"/>
    </row>
    <row r="286" spans="2:5" ht="12.75" customHeight="1" x14ac:dyDescent="0.35">
      <c r="B286" s="31"/>
      <c r="D286" s="31"/>
      <c r="E286" s="31"/>
    </row>
    <row r="287" spans="2:5" ht="12.75" customHeight="1" x14ac:dyDescent="0.35">
      <c r="B287" s="31"/>
      <c r="D287" s="31"/>
      <c r="E287" s="31"/>
    </row>
    <row r="288" spans="2:5" ht="12.75" customHeight="1" x14ac:dyDescent="0.35">
      <c r="B288" s="31"/>
      <c r="D288" s="31"/>
      <c r="E288" s="31"/>
    </row>
    <row r="289" spans="2:5" ht="12.75" customHeight="1" x14ac:dyDescent="0.35">
      <c r="B289" s="31"/>
      <c r="D289" s="31"/>
      <c r="E289" s="31"/>
    </row>
    <row r="290" spans="2:5" ht="12.75" customHeight="1" x14ac:dyDescent="0.35">
      <c r="B290" s="31"/>
      <c r="D290" s="31"/>
      <c r="E290" s="31"/>
    </row>
    <row r="291" spans="2:5" ht="12.75" customHeight="1" x14ac:dyDescent="0.35">
      <c r="B291" s="31"/>
      <c r="D291" s="31"/>
      <c r="E291" s="31"/>
    </row>
    <row r="292" spans="2:5" ht="12.75" customHeight="1" x14ac:dyDescent="0.35">
      <c r="B292" s="31"/>
      <c r="D292" s="31"/>
      <c r="E292" s="31"/>
    </row>
    <row r="293" spans="2:5" ht="12.75" customHeight="1" x14ac:dyDescent="0.35">
      <c r="B293" s="31"/>
      <c r="D293" s="31"/>
      <c r="E293" s="31"/>
    </row>
    <row r="294" spans="2:5" ht="12.75" customHeight="1" x14ac:dyDescent="0.35">
      <c r="B294" s="31"/>
      <c r="D294" s="31"/>
      <c r="E294" s="31"/>
    </row>
    <row r="295" spans="2:5" ht="12.75" customHeight="1" x14ac:dyDescent="0.35">
      <c r="B295" s="31"/>
      <c r="D295" s="31"/>
      <c r="E295" s="31"/>
    </row>
    <row r="296" spans="2:5" ht="12.75" customHeight="1" x14ac:dyDescent="0.35">
      <c r="B296" s="31"/>
      <c r="D296" s="31"/>
      <c r="E296" s="31"/>
    </row>
    <row r="297" spans="2:5" ht="12.75" customHeight="1" x14ac:dyDescent="0.35">
      <c r="B297" s="31"/>
      <c r="D297" s="31"/>
      <c r="E297" s="31"/>
    </row>
    <row r="298" spans="2:5" ht="12.75" customHeight="1" x14ac:dyDescent="0.35">
      <c r="B298" s="31"/>
      <c r="D298" s="31"/>
      <c r="E298" s="31"/>
    </row>
    <row r="299" spans="2:5" ht="12.75" customHeight="1" x14ac:dyDescent="0.35">
      <c r="B299" s="31"/>
      <c r="D299" s="31"/>
      <c r="E299" s="31"/>
    </row>
    <row r="300" spans="2:5" ht="12.75" customHeight="1" x14ac:dyDescent="0.35">
      <c r="B300" s="31"/>
      <c r="D300" s="31"/>
      <c r="E300" s="31"/>
    </row>
    <row r="301" spans="2:5" ht="12.75" customHeight="1" x14ac:dyDescent="0.35">
      <c r="B301" s="31"/>
      <c r="D301" s="31"/>
      <c r="E301" s="31"/>
    </row>
    <row r="302" spans="2:5" ht="12.75" customHeight="1" x14ac:dyDescent="0.35">
      <c r="B302" s="31"/>
      <c r="D302" s="31"/>
      <c r="E302" s="31"/>
    </row>
    <row r="303" spans="2:5" ht="12.75" customHeight="1" x14ac:dyDescent="0.35">
      <c r="B303" s="31"/>
      <c r="D303" s="31"/>
      <c r="E303" s="31"/>
    </row>
  </sheetData>
  <sheetProtection algorithmName="SHA-512" hashValue="XlsrgjJaFTPch+4H0Yf9nIziupBHn7P16wfZG7D+BuRMrMRcaojf8qqc8W4GX/SqjIFS3AyaVWf9+PGtgqmYOA==" saltValue="CordKjBkVF7FVbM14jixCw==" spinCount="100000" sheet="1" objects="1" scenarios="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C2B44-B2AD-4D39-BB3A-094E9DEE43EC}">
  <sheetPr codeName="Sheet14"/>
  <dimension ref="B1:W303"/>
  <sheetViews>
    <sheetView workbookViewId="0">
      <selection activeCell="K1" sqref="K1"/>
    </sheetView>
  </sheetViews>
  <sheetFormatPr defaultRowHeight="12.75" x14ac:dyDescent="0.35"/>
  <cols>
    <col min="2" max="2" width="43.86328125" bestFit="1" customWidth="1"/>
    <col min="3" max="3" width="12.265625" style="31" hidden="1" customWidth="1"/>
    <col min="4" max="4" width="13.06640625" hidden="1" customWidth="1"/>
    <col min="5" max="5" width="13.06640625" style="34" hidden="1" customWidth="1"/>
    <col min="6" max="6" width="13.06640625" style="69" hidden="1" customWidth="1"/>
    <col min="7" max="8" width="12" hidden="1" customWidth="1"/>
    <col min="9" max="11" width="9.796875" bestFit="1" customWidth="1"/>
    <col min="12" max="12" width="11.06640625" bestFit="1" customWidth="1"/>
    <col min="14" max="16" width="9.796875" bestFit="1" customWidth="1"/>
    <col min="17" max="17" width="11.06640625" bestFit="1" customWidth="1"/>
    <col min="19" max="21" width="9.796875" bestFit="1" customWidth="1"/>
    <col min="22" max="22" width="11.06640625" bestFit="1" customWidth="1"/>
    <col min="23" max="23" width="63.796875" customWidth="1"/>
  </cols>
  <sheetData>
    <row r="1" spans="2:23" ht="12.75" customHeight="1" x14ac:dyDescent="0.35">
      <c r="B1" s="145" t="s">
        <v>309</v>
      </c>
      <c r="C1" s="76"/>
      <c r="D1" s="52"/>
      <c r="E1" s="52"/>
      <c r="F1" s="68"/>
    </row>
    <row r="2" spans="2:23" ht="12.75" customHeight="1" x14ac:dyDescent="0.35">
      <c r="B2" s="52"/>
      <c r="C2" s="76"/>
      <c r="D2" s="52"/>
      <c r="E2" s="52"/>
      <c r="F2" s="68"/>
    </row>
    <row r="3" spans="2:23" ht="12.75" customHeight="1" x14ac:dyDescent="0.35">
      <c r="B3" s="52"/>
      <c r="C3" s="76"/>
      <c r="D3" s="52"/>
      <c r="E3" s="52"/>
      <c r="F3" s="68"/>
    </row>
    <row r="4" spans="2:23" ht="12.75" customHeight="1" x14ac:dyDescent="0.35">
      <c r="B4" s="52"/>
      <c r="C4" s="76"/>
      <c r="D4" s="52"/>
      <c r="E4" s="52"/>
      <c r="F4" s="68"/>
    </row>
    <row r="5" spans="2:23" ht="12.75" customHeight="1" x14ac:dyDescent="0.35">
      <c r="B5" s="52"/>
      <c r="C5" s="76"/>
      <c r="D5" s="52"/>
      <c r="E5" s="52"/>
      <c r="F5" s="68"/>
    </row>
    <row r="6" spans="2:23" ht="15.4" customHeight="1" thickBot="1" x14ac:dyDescent="0.4">
      <c r="B6" s="136"/>
      <c r="C6" s="76"/>
      <c r="D6" s="52"/>
      <c r="E6" s="52"/>
      <c r="F6" s="68"/>
    </row>
    <row r="7" spans="2:23" ht="12.75" customHeight="1" thickTop="1" x14ac:dyDescent="0.35">
      <c r="I7" s="202" t="s">
        <v>294</v>
      </c>
      <c r="J7" s="207"/>
      <c r="K7" s="188"/>
      <c r="L7" s="189"/>
      <c r="N7" s="202" t="s">
        <v>224</v>
      </c>
      <c r="O7" s="236" t="str">
        <f>B1</f>
        <v>Option I</v>
      </c>
      <c r="P7" s="188"/>
      <c r="Q7" s="189"/>
      <c r="S7" s="202" t="s">
        <v>295</v>
      </c>
      <c r="T7" s="207"/>
      <c r="U7" s="188"/>
      <c r="V7" s="189"/>
    </row>
    <row r="8" spans="2:23" ht="12.75" customHeight="1" x14ac:dyDescent="0.35">
      <c r="C8" s="77"/>
      <c r="F8" s="74" t="s">
        <v>140</v>
      </c>
      <c r="G8" s="120" t="s">
        <v>140</v>
      </c>
      <c r="I8" s="208"/>
      <c r="J8" s="209"/>
      <c r="K8" s="190" t="s">
        <v>140</v>
      </c>
      <c r="L8" s="191" t="s">
        <v>140</v>
      </c>
      <c r="N8" s="208"/>
      <c r="O8" s="209"/>
      <c r="P8" s="190" t="s">
        <v>140</v>
      </c>
      <c r="Q8" s="191" t="s">
        <v>140</v>
      </c>
      <c r="S8" s="208"/>
      <c r="T8" s="209"/>
      <c r="U8" s="190" t="s">
        <v>140</v>
      </c>
      <c r="V8" s="191" t="s">
        <v>140</v>
      </c>
    </row>
    <row r="9" spans="2:23" ht="12.75" customHeight="1" thickBot="1" x14ac:dyDescent="0.4">
      <c r="B9" s="4"/>
      <c r="C9" s="78"/>
      <c r="D9" s="47">
        <v>43983</v>
      </c>
      <c r="E9" s="46">
        <v>44348</v>
      </c>
      <c r="F9" s="70">
        <v>44713</v>
      </c>
      <c r="G9" s="130" t="s">
        <v>238</v>
      </c>
      <c r="I9" s="192">
        <v>43983</v>
      </c>
      <c r="J9" s="193">
        <v>44348</v>
      </c>
      <c r="K9" s="194">
        <v>44713</v>
      </c>
      <c r="L9" s="195" t="s">
        <v>238</v>
      </c>
      <c r="N9" s="192">
        <v>43983</v>
      </c>
      <c r="O9" s="193">
        <v>44348</v>
      </c>
      <c r="P9" s="194">
        <v>44713</v>
      </c>
      <c r="Q9" s="195" t="s">
        <v>238</v>
      </c>
      <c r="S9" s="192">
        <v>43983</v>
      </c>
      <c r="T9" s="193">
        <v>44348</v>
      </c>
      <c r="U9" s="194">
        <v>44713</v>
      </c>
      <c r="V9" s="195" t="s">
        <v>238</v>
      </c>
    </row>
    <row r="10" spans="2:23" ht="12.75" customHeight="1" thickTop="1" thickBot="1" x14ac:dyDescent="0.4">
      <c r="C10" s="79"/>
      <c r="D10" s="9" t="s">
        <v>223</v>
      </c>
      <c r="E10" s="44" t="s">
        <v>131</v>
      </c>
      <c r="F10" s="9" t="s">
        <v>131</v>
      </c>
      <c r="G10" s="9" t="s">
        <v>131</v>
      </c>
      <c r="I10" s="203" t="s">
        <v>223</v>
      </c>
      <c r="J10" s="204" t="s">
        <v>131</v>
      </c>
      <c r="K10" s="205" t="s">
        <v>131</v>
      </c>
      <c r="L10" s="206" t="s">
        <v>131</v>
      </c>
      <c r="N10" s="203" t="s">
        <v>223</v>
      </c>
      <c r="O10" s="204" t="s">
        <v>131</v>
      </c>
      <c r="P10" s="205" t="s">
        <v>131</v>
      </c>
      <c r="Q10" s="206" t="s">
        <v>131</v>
      </c>
      <c r="S10" s="203" t="s">
        <v>223</v>
      </c>
      <c r="T10" s="204" t="s">
        <v>131</v>
      </c>
      <c r="U10" s="205" t="s">
        <v>131</v>
      </c>
      <c r="V10" s="225" t="s">
        <v>131</v>
      </c>
      <c r="W10" s="233" t="s">
        <v>297</v>
      </c>
    </row>
    <row r="11" spans="2:23" ht="12.75" customHeight="1" thickTop="1" x14ac:dyDescent="0.35">
      <c r="B11" s="3" t="s">
        <v>3</v>
      </c>
      <c r="G11" s="129"/>
      <c r="I11" s="210"/>
      <c r="J11" s="211"/>
      <c r="K11" s="211"/>
      <c r="L11" s="212"/>
      <c r="N11" s="210"/>
      <c r="O11" s="211"/>
      <c r="P11" s="211"/>
      <c r="Q11" s="212"/>
      <c r="S11" s="210"/>
      <c r="T11" s="211"/>
      <c r="U11" s="211"/>
      <c r="V11" s="226"/>
      <c r="W11" s="234"/>
    </row>
    <row r="12" spans="2:23" ht="12.75" customHeight="1" x14ac:dyDescent="0.35">
      <c r="B12" s="3" t="s">
        <v>4</v>
      </c>
      <c r="C12" s="81"/>
      <c r="D12" s="103">
        <v>45700</v>
      </c>
      <c r="E12" s="103">
        <v>36700</v>
      </c>
      <c r="F12" s="103">
        <v>36700</v>
      </c>
      <c r="G12" s="103">
        <f>'BASE - Pre CV-19'!O19</f>
        <v>23700</v>
      </c>
      <c r="I12" s="196">
        <f>D12</f>
        <v>45700</v>
      </c>
      <c r="J12" s="197">
        <f t="shared" ref="J12:L12" si="0">E12</f>
        <v>36700</v>
      </c>
      <c r="K12" s="197">
        <f t="shared" si="0"/>
        <v>36700</v>
      </c>
      <c r="L12" s="198">
        <f t="shared" si="0"/>
        <v>23700</v>
      </c>
      <c r="M12" s="138"/>
      <c r="N12" s="196">
        <f>D13</f>
        <v>33984</v>
      </c>
      <c r="O12" s="197">
        <f t="shared" ref="O12:Q12" si="1">E13</f>
        <v>27500</v>
      </c>
      <c r="P12" s="197">
        <f t="shared" si="1"/>
        <v>27500</v>
      </c>
      <c r="Q12" s="198">
        <f t="shared" si="1"/>
        <v>23700</v>
      </c>
      <c r="R12" s="138"/>
      <c r="S12" s="196">
        <f>N12-I12</f>
        <v>-11716</v>
      </c>
      <c r="T12" s="197">
        <f t="shared" ref="T12:V12" si="2">O12-J12</f>
        <v>-9200</v>
      </c>
      <c r="U12" s="197">
        <f t="shared" si="2"/>
        <v>-9200</v>
      </c>
      <c r="V12" s="227">
        <f t="shared" si="2"/>
        <v>0</v>
      </c>
      <c r="W12" s="234" t="s">
        <v>298</v>
      </c>
    </row>
    <row r="13" spans="2:23" ht="12.75" customHeight="1" x14ac:dyDescent="0.35">
      <c r="C13" s="100" t="s">
        <v>224</v>
      </c>
      <c r="D13" s="104">
        <v>33984</v>
      </c>
      <c r="E13" s="105">
        <v>27500</v>
      </c>
      <c r="F13" s="104">
        <v>27500</v>
      </c>
      <c r="G13" s="104">
        <f>G12</f>
        <v>23700</v>
      </c>
      <c r="I13" s="213"/>
      <c r="J13" s="214"/>
      <c r="K13" s="214"/>
      <c r="L13" s="215"/>
      <c r="N13" s="213"/>
      <c r="O13" s="214"/>
      <c r="P13" s="214"/>
      <c r="Q13" s="215"/>
      <c r="S13" s="213"/>
      <c r="T13" s="214"/>
      <c r="U13" s="214"/>
      <c r="V13" s="228"/>
      <c r="W13" s="234"/>
    </row>
    <row r="14" spans="2:23" ht="12.75" customHeight="1" x14ac:dyDescent="0.35">
      <c r="B14" s="3" t="s">
        <v>10</v>
      </c>
      <c r="D14" s="106"/>
      <c r="E14" s="107"/>
      <c r="F14" s="108"/>
      <c r="I14" s="210"/>
      <c r="J14" s="211"/>
      <c r="K14" s="211"/>
      <c r="L14" s="211"/>
      <c r="N14" s="210"/>
      <c r="O14" s="211"/>
      <c r="P14" s="211"/>
      <c r="Q14" s="211"/>
      <c r="S14" s="210"/>
      <c r="T14" s="211"/>
      <c r="U14" s="211"/>
      <c r="V14" s="226"/>
      <c r="W14" s="234"/>
    </row>
    <row r="15" spans="2:23" ht="12.75" customHeight="1" x14ac:dyDescent="0.35">
      <c r="B15" s="3" t="s">
        <v>11</v>
      </c>
      <c r="D15" s="103">
        <v>181992.66750000001</v>
      </c>
      <c r="E15" s="103">
        <v>191092.30087500002</v>
      </c>
      <c r="F15" s="103">
        <v>200646.91591875005</v>
      </c>
      <c r="G15" s="103">
        <f>'BASE - Pre CV-19'!O31</f>
        <v>210679.26171468751</v>
      </c>
      <c r="I15" s="196">
        <f>D15</f>
        <v>181992.66750000001</v>
      </c>
      <c r="J15" s="197">
        <f t="shared" ref="J15:L15" si="3">E15</f>
        <v>191092.30087500002</v>
      </c>
      <c r="K15" s="197">
        <f t="shared" si="3"/>
        <v>200646.91591875005</v>
      </c>
      <c r="L15" s="198">
        <f t="shared" si="3"/>
        <v>210679.26171468751</v>
      </c>
      <c r="M15" s="138"/>
      <c r="N15" s="196">
        <f>D16</f>
        <v>192659</v>
      </c>
      <c r="O15" s="197">
        <f t="shared" ref="O15:Q15" si="4">E16</f>
        <v>181537.68583125001</v>
      </c>
      <c r="P15" s="197">
        <f t="shared" si="4"/>
        <v>190614.57012281253</v>
      </c>
      <c r="Q15" s="198">
        <f t="shared" si="4"/>
        <v>200145.29862895314</v>
      </c>
      <c r="R15" s="138"/>
      <c r="S15" s="196">
        <f>N15-I15</f>
        <v>10666.33249999999</v>
      </c>
      <c r="T15" s="197">
        <f t="shared" ref="T15:V15" si="5">O15-J15</f>
        <v>-9554.6150437500037</v>
      </c>
      <c r="U15" s="197">
        <f t="shared" si="5"/>
        <v>-10032.345795937523</v>
      </c>
      <c r="V15" s="227">
        <f t="shared" si="5"/>
        <v>-10533.963085734373</v>
      </c>
      <c r="W15" s="234"/>
    </row>
    <row r="16" spans="2:23" ht="12.75" customHeight="1" x14ac:dyDescent="0.35">
      <c r="C16" s="100" t="s">
        <v>224</v>
      </c>
      <c r="D16" s="105">
        <v>192659</v>
      </c>
      <c r="E16" s="105">
        <f>E15*0.95</f>
        <v>181537.68583125001</v>
      </c>
      <c r="F16" s="105">
        <f>F15*0.95</f>
        <v>190614.57012281253</v>
      </c>
      <c r="G16" s="105">
        <f>G15*0.95</f>
        <v>200145.29862895314</v>
      </c>
      <c r="I16" s="216"/>
      <c r="J16" s="217"/>
      <c r="K16" s="217"/>
      <c r="L16" s="218"/>
      <c r="M16" s="138"/>
      <c r="N16" s="216"/>
      <c r="O16" s="217"/>
      <c r="P16" s="217"/>
      <c r="Q16" s="218"/>
      <c r="R16" s="138"/>
      <c r="S16" s="216"/>
      <c r="T16" s="217"/>
      <c r="U16" s="217"/>
      <c r="V16" s="229"/>
      <c r="W16" s="234"/>
    </row>
    <row r="17" spans="2:23" ht="12.75" customHeight="1" x14ac:dyDescent="0.35">
      <c r="B17" s="3" t="s">
        <v>19</v>
      </c>
      <c r="C17" s="81"/>
      <c r="D17" s="103">
        <v>274023.0999545455</v>
      </c>
      <c r="E17" s="103">
        <v>287724.25495227281</v>
      </c>
      <c r="F17" s="103">
        <v>302110.46769988647</v>
      </c>
      <c r="G17" s="103">
        <f>'BASE - Pre CV-19'!O39</f>
        <v>290842.64897795231</v>
      </c>
      <c r="H17" s="133"/>
      <c r="I17" s="196">
        <f>D17</f>
        <v>274023.0999545455</v>
      </c>
      <c r="J17" s="197">
        <f t="shared" ref="J17:L17" si="6">E17</f>
        <v>287724.25495227281</v>
      </c>
      <c r="K17" s="197">
        <f t="shared" si="6"/>
        <v>302110.46769988647</v>
      </c>
      <c r="L17" s="198">
        <f t="shared" si="6"/>
        <v>290842.64897795231</v>
      </c>
      <c r="M17" s="138"/>
      <c r="N17" s="196">
        <f>D18</f>
        <v>258682</v>
      </c>
      <c r="O17" s="197">
        <f t="shared" ref="O17:Q17" si="7">E18</f>
        <v>230179.40396181826</v>
      </c>
      <c r="P17" s="197">
        <f t="shared" si="7"/>
        <v>241688.3741599092</v>
      </c>
      <c r="Q17" s="198">
        <f t="shared" si="7"/>
        <v>232674.11918236187</v>
      </c>
      <c r="R17" s="138"/>
      <c r="S17" s="196">
        <f>N17-I17</f>
        <v>-15341.099954545498</v>
      </c>
      <c r="T17" s="197">
        <f t="shared" ref="T17:V17" si="8">O17-J17</f>
        <v>-57544.85099045455</v>
      </c>
      <c r="U17" s="197">
        <f t="shared" si="8"/>
        <v>-60422.093539977272</v>
      </c>
      <c r="V17" s="227">
        <f t="shared" si="8"/>
        <v>-58168.529795590439</v>
      </c>
      <c r="W17" s="234"/>
    </row>
    <row r="18" spans="2:23" ht="12.75" customHeight="1" x14ac:dyDescent="0.35">
      <c r="C18" s="100" t="s">
        <v>224</v>
      </c>
      <c r="D18" s="104">
        <v>258682</v>
      </c>
      <c r="E18" s="105">
        <f>E17*0.8</f>
        <v>230179.40396181826</v>
      </c>
      <c r="F18" s="105">
        <f t="shared" ref="F18:G18" si="9">F17*0.8</f>
        <v>241688.3741599092</v>
      </c>
      <c r="G18" s="105">
        <f t="shared" si="9"/>
        <v>232674.11918236187</v>
      </c>
      <c r="I18" s="213"/>
      <c r="J18" s="214"/>
      <c r="K18" s="214"/>
      <c r="L18" s="215"/>
      <c r="N18" s="213"/>
      <c r="O18" s="214"/>
      <c r="P18" s="214"/>
      <c r="Q18" s="215"/>
      <c r="S18" s="213"/>
      <c r="T18" s="214"/>
      <c r="U18" s="214"/>
      <c r="V18" s="228"/>
      <c r="W18" s="234"/>
    </row>
    <row r="19" spans="2:23" ht="12.75" customHeight="1" thickBot="1" x14ac:dyDescent="0.4">
      <c r="B19" s="6" t="s">
        <v>27</v>
      </c>
      <c r="C19" s="82"/>
      <c r="D19" s="103">
        <f>D17+D15</f>
        <v>456015.76745454548</v>
      </c>
      <c r="E19" s="103">
        <f>E17+E15</f>
        <v>478816.55582727282</v>
      </c>
      <c r="F19" s="103">
        <f>F17+F15</f>
        <v>502757.38361863652</v>
      </c>
      <c r="G19" s="103">
        <f>G17+G15</f>
        <v>501521.91069263982</v>
      </c>
      <c r="I19" s="196">
        <f>D19</f>
        <v>456015.76745454548</v>
      </c>
      <c r="J19" s="197">
        <f t="shared" ref="J19:L19" si="10">E19</f>
        <v>478816.55582727282</v>
      </c>
      <c r="K19" s="197">
        <f t="shared" si="10"/>
        <v>502757.38361863652</v>
      </c>
      <c r="L19" s="198">
        <f t="shared" si="10"/>
        <v>501521.91069263982</v>
      </c>
      <c r="M19" s="138"/>
      <c r="N19" s="196">
        <f>D20</f>
        <v>451341</v>
      </c>
      <c r="O19" s="197">
        <f t="shared" ref="O19:Q19" si="11">E20</f>
        <v>411717.08979306824</v>
      </c>
      <c r="P19" s="197">
        <f t="shared" si="11"/>
        <v>432302.94428272173</v>
      </c>
      <c r="Q19" s="198">
        <f t="shared" si="11"/>
        <v>432819.41781131504</v>
      </c>
      <c r="R19" s="138"/>
      <c r="S19" s="196">
        <f>N19-I19</f>
        <v>-4674.7674545454793</v>
      </c>
      <c r="T19" s="197">
        <f t="shared" ref="T19:V19" si="12">O19-J19</f>
        <v>-67099.466034204583</v>
      </c>
      <c r="U19" s="197">
        <f t="shared" si="12"/>
        <v>-70454.439335914794</v>
      </c>
      <c r="V19" s="227">
        <f t="shared" si="12"/>
        <v>-68702.492881324783</v>
      </c>
      <c r="W19" s="234"/>
    </row>
    <row r="20" spans="2:23" ht="12.75" customHeight="1" thickTop="1" x14ac:dyDescent="0.35">
      <c r="C20" s="100" t="s">
        <v>224</v>
      </c>
      <c r="D20" s="105">
        <f>D18+D16</f>
        <v>451341</v>
      </c>
      <c r="E20" s="105">
        <f>E18+E16</f>
        <v>411717.08979306824</v>
      </c>
      <c r="F20" s="105">
        <f>F18+F16</f>
        <v>432302.94428272173</v>
      </c>
      <c r="G20" s="105">
        <f>G18+G16</f>
        <v>432819.41781131504</v>
      </c>
      <c r="I20" s="216"/>
      <c r="J20" s="217"/>
      <c r="K20" s="217"/>
      <c r="L20" s="218"/>
      <c r="M20" s="138"/>
      <c r="N20" s="216"/>
      <c r="O20" s="217"/>
      <c r="P20" s="217"/>
      <c r="Q20" s="218"/>
      <c r="R20" s="138"/>
      <c r="S20" s="216"/>
      <c r="T20" s="217"/>
      <c r="U20" s="217"/>
      <c r="V20" s="229"/>
      <c r="W20" s="234"/>
    </row>
    <row r="21" spans="2:23" ht="12.75" hidden="1" customHeight="1" x14ac:dyDescent="0.35">
      <c r="B21" s="1" t="s">
        <v>34</v>
      </c>
      <c r="C21" s="80"/>
      <c r="D21" s="101"/>
      <c r="E21" s="109"/>
      <c r="F21" s="101"/>
      <c r="I21" s="196"/>
      <c r="J21" s="197"/>
      <c r="K21" s="197"/>
      <c r="L21" s="198"/>
      <c r="M21" s="138"/>
      <c r="N21" s="196"/>
      <c r="O21" s="197"/>
      <c r="P21" s="197"/>
      <c r="Q21" s="198"/>
      <c r="R21" s="138"/>
      <c r="S21" s="196"/>
      <c r="T21" s="197"/>
      <c r="U21" s="197"/>
      <c r="V21" s="227"/>
      <c r="W21" s="234"/>
    </row>
    <row r="22" spans="2:23" ht="12.75" customHeight="1" x14ac:dyDescent="0.35">
      <c r="B22" s="3" t="s">
        <v>28</v>
      </c>
      <c r="C22" s="83"/>
      <c r="D22" s="103">
        <v>105480</v>
      </c>
      <c r="E22" s="103">
        <v>110754</v>
      </c>
      <c r="F22" s="103">
        <v>110754</v>
      </c>
      <c r="G22" s="103">
        <f>'BASE - Pre CV-19'!O50</f>
        <v>116291.7</v>
      </c>
      <c r="I22" s="196">
        <f>D22</f>
        <v>105480</v>
      </c>
      <c r="J22" s="197">
        <f t="shared" ref="J22:L22" si="13">E22</f>
        <v>110754</v>
      </c>
      <c r="K22" s="197">
        <f t="shared" si="13"/>
        <v>110754</v>
      </c>
      <c r="L22" s="198">
        <f t="shared" si="13"/>
        <v>116291.7</v>
      </c>
      <c r="M22" s="138"/>
      <c r="N22" s="196">
        <f>D23</f>
        <v>112410</v>
      </c>
      <c r="O22" s="197">
        <f t="shared" ref="O22:Q22" si="14">E23</f>
        <v>105216.29999999999</v>
      </c>
      <c r="P22" s="197">
        <f t="shared" si="14"/>
        <v>105216.29999999999</v>
      </c>
      <c r="Q22" s="198">
        <f t="shared" si="14"/>
        <v>110477.11499999999</v>
      </c>
      <c r="R22" s="138"/>
      <c r="S22" s="196">
        <f>N22-I22</f>
        <v>6930</v>
      </c>
      <c r="T22" s="197">
        <f t="shared" ref="T22:V22" si="15">O22-J22</f>
        <v>-5537.7000000000116</v>
      </c>
      <c r="U22" s="197">
        <f t="shared" si="15"/>
        <v>-5537.7000000000116</v>
      </c>
      <c r="V22" s="227">
        <f t="shared" si="15"/>
        <v>-5814.5850000000064</v>
      </c>
      <c r="W22" s="234"/>
    </row>
    <row r="23" spans="2:23" ht="12.75" customHeight="1" x14ac:dyDescent="0.35">
      <c r="C23" s="100" t="s">
        <v>224</v>
      </c>
      <c r="D23" s="105">
        <v>112410</v>
      </c>
      <c r="E23" s="105">
        <f>E22*0.95</f>
        <v>105216.29999999999</v>
      </c>
      <c r="F23" s="105">
        <f t="shared" ref="F23:G23" si="16">F22*0.95</f>
        <v>105216.29999999999</v>
      </c>
      <c r="G23" s="105">
        <f t="shared" si="16"/>
        <v>110477.11499999999</v>
      </c>
      <c r="I23" s="216"/>
      <c r="J23" s="217"/>
      <c r="K23" s="217"/>
      <c r="L23" s="218"/>
      <c r="M23" s="138"/>
      <c r="N23" s="216"/>
      <c r="O23" s="217"/>
      <c r="P23" s="217"/>
      <c r="Q23" s="218"/>
      <c r="R23" s="138"/>
      <c r="S23" s="216"/>
      <c r="T23" s="217"/>
      <c r="U23" s="217"/>
      <c r="V23" s="229"/>
      <c r="W23" s="234"/>
    </row>
    <row r="24" spans="2:23" ht="12.75" customHeight="1" thickBot="1" x14ac:dyDescent="0.4">
      <c r="B24" s="6" t="s">
        <v>36</v>
      </c>
      <c r="C24" s="85"/>
      <c r="D24" s="103">
        <f>D22+D19</f>
        <v>561495.76745454548</v>
      </c>
      <c r="E24" s="103">
        <f>E22+E19</f>
        <v>589570.55582727282</v>
      </c>
      <c r="F24" s="103">
        <f>F22+F19</f>
        <v>613511.38361863652</v>
      </c>
      <c r="G24" s="103">
        <f>G22+G19</f>
        <v>617813.61069263984</v>
      </c>
      <c r="I24" s="196">
        <f>D24</f>
        <v>561495.76745454548</v>
      </c>
      <c r="J24" s="197">
        <f t="shared" ref="J24:L24" si="17">E24</f>
        <v>589570.55582727282</v>
      </c>
      <c r="K24" s="197">
        <f t="shared" si="17"/>
        <v>613511.38361863652</v>
      </c>
      <c r="L24" s="198">
        <f t="shared" si="17"/>
        <v>617813.61069263984</v>
      </c>
      <c r="M24" s="138"/>
      <c r="N24" s="196">
        <f>D25</f>
        <v>563751</v>
      </c>
      <c r="O24" s="197">
        <f t="shared" ref="O24:Q24" si="18">E25</f>
        <v>516933.38979306823</v>
      </c>
      <c r="P24" s="197">
        <f t="shared" si="18"/>
        <v>537519.24428272177</v>
      </c>
      <c r="Q24" s="198">
        <f t="shared" si="18"/>
        <v>543296.53281131503</v>
      </c>
      <c r="R24" s="138"/>
      <c r="S24" s="196">
        <f>N24-I24</f>
        <v>2255.2325454545207</v>
      </c>
      <c r="T24" s="197">
        <f t="shared" ref="T24:V24" si="19">O24-J24</f>
        <v>-72637.166034204594</v>
      </c>
      <c r="U24" s="197">
        <f t="shared" si="19"/>
        <v>-75992.139335914748</v>
      </c>
      <c r="V24" s="227">
        <f t="shared" si="19"/>
        <v>-74517.077881324803</v>
      </c>
      <c r="W24" s="234" t="s">
        <v>330</v>
      </c>
    </row>
    <row r="25" spans="2:23" ht="12.75" customHeight="1" thickTop="1" x14ac:dyDescent="0.35">
      <c r="C25" s="100" t="s">
        <v>224</v>
      </c>
      <c r="D25" s="105">
        <f>D23+D20</f>
        <v>563751</v>
      </c>
      <c r="E25" s="105">
        <f>E23+E20</f>
        <v>516933.38979306823</v>
      </c>
      <c r="F25" s="105">
        <f>F23+F20</f>
        <v>537519.24428272177</v>
      </c>
      <c r="G25" s="105">
        <f>G23+G20</f>
        <v>543296.53281131503</v>
      </c>
      <c r="I25" s="216"/>
      <c r="J25" s="217"/>
      <c r="K25" s="217"/>
      <c r="L25" s="218"/>
      <c r="M25" s="138"/>
      <c r="N25" s="216"/>
      <c r="O25" s="217"/>
      <c r="P25" s="217"/>
      <c r="Q25" s="218"/>
      <c r="R25" s="138"/>
      <c r="S25" s="216"/>
      <c r="T25" s="217"/>
      <c r="U25" s="217"/>
      <c r="V25" s="229"/>
      <c r="W25" s="234"/>
    </row>
    <row r="26" spans="2:23" ht="12.75" customHeight="1" x14ac:dyDescent="0.35">
      <c r="B26" s="3" t="s">
        <v>37</v>
      </c>
      <c r="D26" s="106"/>
      <c r="E26" s="107"/>
      <c r="F26" s="108"/>
      <c r="I26" s="222"/>
      <c r="J26" s="223"/>
      <c r="K26" s="223"/>
      <c r="L26" s="224"/>
      <c r="M26" s="138"/>
      <c r="N26" s="222"/>
      <c r="O26" s="223"/>
      <c r="P26" s="223"/>
      <c r="Q26" s="224"/>
      <c r="R26" s="138"/>
      <c r="S26" s="222"/>
      <c r="T26" s="223"/>
      <c r="U26" s="223"/>
      <c r="V26" s="231"/>
      <c r="W26" s="234"/>
    </row>
    <row r="27" spans="2:23" ht="12.75" customHeight="1" x14ac:dyDescent="0.35">
      <c r="B27" s="1" t="s">
        <v>38</v>
      </c>
      <c r="C27" s="80"/>
      <c r="D27" s="101">
        <v>6300</v>
      </c>
      <c r="E27" s="109">
        <v>7000</v>
      </c>
      <c r="F27" s="101">
        <v>7500</v>
      </c>
      <c r="G27" s="32"/>
      <c r="I27" s="219"/>
      <c r="J27" s="220"/>
      <c r="K27" s="220"/>
      <c r="L27" s="221"/>
      <c r="M27" s="138"/>
      <c r="N27" s="219"/>
      <c r="O27" s="220"/>
      <c r="P27" s="220"/>
      <c r="Q27" s="221"/>
      <c r="R27" s="138"/>
      <c r="S27" s="219"/>
      <c r="T27" s="220"/>
      <c r="U27" s="220"/>
      <c r="V27" s="230"/>
      <c r="W27" s="234"/>
    </row>
    <row r="28" spans="2:23" ht="12.75" customHeight="1" x14ac:dyDescent="0.35">
      <c r="B28" s="5" t="s">
        <v>41</v>
      </c>
      <c r="C28" s="83"/>
      <c r="D28" s="103">
        <v>6300</v>
      </c>
      <c r="E28" s="103">
        <v>7000</v>
      </c>
      <c r="F28" s="103">
        <v>7500</v>
      </c>
      <c r="G28" s="103">
        <f>'BASE - Pre CV-19'!O58</f>
        <v>7650</v>
      </c>
      <c r="I28" s="196">
        <f>D28</f>
        <v>6300</v>
      </c>
      <c r="J28" s="197">
        <f t="shared" ref="J28:L28" si="20">E28</f>
        <v>7000</v>
      </c>
      <c r="K28" s="197">
        <f t="shared" si="20"/>
        <v>7500</v>
      </c>
      <c r="L28" s="198">
        <f t="shared" si="20"/>
        <v>7650</v>
      </c>
      <c r="M28" s="138"/>
      <c r="N28" s="196">
        <f>D29</f>
        <v>10856</v>
      </c>
      <c r="O28" s="197">
        <f t="shared" ref="O28:Q28" si="21">E29</f>
        <v>7000</v>
      </c>
      <c r="P28" s="197">
        <f t="shared" si="21"/>
        <v>7500</v>
      </c>
      <c r="Q28" s="198">
        <f t="shared" si="21"/>
        <v>7650</v>
      </c>
      <c r="R28" s="138"/>
      <c r="S28" s="196">
        <f>N28-I28</f>
        <v>4556</v>
      </c>
      <c r="T28" s="197">
        <f t="shared" ref="T28:V28" si="22">O28-J28</f>
        <v>0</v>
      </c>
      <c r="U28" s="197">
        <f t="shared" si="22"/>
        <v>0</v>
      </c>
      <c r="V28" s="227">
        <f t="shared" si="22"/>
        <v>0</v>
      </c>
      <c r="W28" s="234"/>
    </row>
    <row r="29" spans="2:23" ht="12.75" customHeight="1" x14ac:dyDescent="0.35">
      <c r="C29" s="100" t="s">
        <v>224</v>
      </c>
      <c r="D29" s="105">
        <v>10856</v>
      </c>
      <c r="E29" s="105">
        <v>7000</v>
      </c>
      <c r="F29" s="105">
        <v>7500</v>
      </c>
      <c r="G29" s="105">
        <f>G28</f>
        <v>7650</v>
      </c>
      <c r="I29" s="216"/>
      <c r="J29" s="217"/>
      <c r="K29" s="217"/>
      <c r="L29" s="218"/>
      <c r="M29" s="138"/>
      <c r="N29" s="216"/>
      <c r="O29" s="217"/>
      <c r="P29" s="217"/>
      <c r="Q29" s="218"/>
      <c r="R29" s="138"/>
      <c r="S29" s="216"/>
      <c r="T29" s="217"/>
      <c r="U29" s="217"/>
      <c r="V29" s="229"/>
      <c r="W29" s="234"/>
    </row>
    <row r="30" spans="2:23" ht="12.75" customHeight="1" x14ac:dyDescent="0.35">
      <c r="B30" s="3" t="s">
        <v>42</v>
      </c>
      <c r="C30" s="84"/>
      <c r="D30" s="106"/>
      <c r="E30" s="107"/>
      <c r="F30" s="108"/>
      <c r="I30" s="222"/>
      <c r="J30" s="223"/>
      <c r="K30" s="223"/>
      <c r="L30" s="224"/>
      <c r="M30" s="138"/>
      <c r="N30" s="222"/>
      <c r="O30" s="223"/>
      <c r="P30" s="223"/>
      <c r="Q30" s="224"/>
      <c r="R30" s="138"/>
      <c r="S30" s="222"/>
      <c r="T30" s="223"/>
      <c r="U30" s="223"/>
      <c r="V30" s="231"/>
      <c r="W30" s="234"/>
    </row>
    <row r="31" spans="2:23" ht="12.75" customHeight="1" x14ac:dyDescent="0.35">
      <c r="B31" s="1" t="s">
        <v>44</v>
      </c>
      <c r="C31" s="83"/>
      <c r="D31" s="103">
        <v>34000</v>
      </c>
      <c r="E31" s="103">
        <v>35000</v>
      </c>
      <c r="F31" s="103">
        <v>36000</v>
      </c>
      <c r="G31" s="103">
        <f>'BASE - Pre CV-19'!O64</f>
        <v>38000</v>
      </c>
      <c r="I31" s="196">
        <f>D31</f>
        <v>34000</v>
      </c>
      <c r="J31" s="197">
        <f t="shared" ref="J31:L31" si="23">E31</f>
        <v>35000</v>
      </c>
      <c r="K31" s="197">
        <f t="shared" si="23"/>
        <v>36000</v>
      </c>
      <c r="L31" s="198">
        <f t="shared" si="23"/>
        <v>38000</v>
      </c>
      <c r="M31" s="138"/>
      <c r="N31" s="196">
        <f>D32</f>
        <v>0</v>
      </c>
      <c r="O31" s="197">
        <f t="shared" ref="O31:Q31" si="24">E32</f>
        <v>35000</v>
      </c>
      <c r="P31" s="197">
        <f t="shared" si="24"/>
        <v>36000</v>
      </c>
      <c r="Q31" s="198">
        <f t="shared" si="24"/>
        <v>38000</v>
      </c>
      <c r="R31" s="138"/>
      <c r="S31" s="196">
        <f>N31-I31</f>
        <v>-34000</v>
      </c>
      <c r="T31" s="197">
        <f t="shared" ref="T31:V31" si="25">O31-J31</f>
        <v>0</v>
      </c>
      <c r="U31" s="197">
        <f t="shared" si="25"/>
        <v>0</v>
      </c>
      <c r="V31" s="227">
        <f t="shared" si="25"/>
        <v>0</v>
      </c>
      <c r="W31" s="234"/>
    </row>
    <row r="32" spans="2:23" ht="12.75" customHeight="1" x14ac:dyDescent="0.35">
      <c r="B32" s="290"/>
      <c r="C32" s="100" t="s">
        <v>224</v>
      </c>
      <c r="D32" s="113">
        <v>0</v>
      </c>
      <c r="E32" s="113">
        <v>35000</v>
      </c>
      <c r="F32" s="113">
        <v>36000</v>
      </c>
      <c r="G32" s="105">
        <f>G31</f>
        <v>38000</v>
      </c>
      <c r="I32" s="216"/>
      <c r="J32" s="217"/>
      <c r="K32" s="217"/>
      <c r="L32" s="218"/>
      <c r="M32" s="138"/>
      <c r="N32" s="216"/>
      <c r="O32" s="217"/>
      <c r="P32" s="217"/>
      <c r="Q32" s="218"/>
      <c r="R32" s="138"/>
      <c r="S32" s="216"/>
      <c r="T32" s="217"/>
      <c r="U32" s="217"/>
      <c r="V32" s="229"/>
      <c r="W32" s="234"/>
    </row>
    <row r="33" spans="2:23" ht="12.75" customHeight="1" x14ac:dyDescent="0.35">
      <c r="B33" s="1" t="s">
        <v>47</v>
      </c>
      <c r="C33" s="83"/>
      <c r="D33" s="103">
        <v>97416.709999999992</v>
      </c>
      <c r="E33" s="103">
        <v>0</v>
      </c>
      <c r="F33" s="103">
        <v>103000</v>
      </c>
      <c r="G33" s="103">
        <f>'BASE - Pre CV-19'!O69</f>
        <v>0</v>
      </c>
      <c r="I33" s="196">
        <f>D33</f>
        <v>97416.709999999992</v>
      </c>
      <c r="J33" s="197">
        <f t="shared" ref="J33:L33" si="26">E33</f>
        <v>0</v>
      </c>
      <c r="K33" s="197">
        <f t="shared" si="26"/>
        <v>103000</v>
      </c>
      <c r="L33" s="198">
        <f t="shared" si="26"/>
        <v>0</v>
      </c>
      <c r="M33" s="138"/>
      <c r="N33" s="196">
        <f>D34</f>
        <v>68880</v>
      </c>
      <c r="O33" s="197">
        <f t="shared" ref="O33:Q33" si="27">E34</f>
        <v>0</v>
      </c>
      <c r="P33" s="197">
        <f t="shared" si="27"/>
        <v>0</v>
      </c>
      <c r="Q33" s="198">
        <f t="shared" si="27"/>
        <v>0</v>
      </c>
      <c r="R33" s="138"/>
      <c r="S33" s="196">
        <f>N33-I33</f>
        <v>-28536.709999999992</v>
      </c>
      <c r="T33" s="197">
        <f t="shared" ref="T33:V33" si="28">O33-J33</f>
        <v>0</v>
      </c>
      <c r="U33" s="197">
        <f t="shared" si="28"/>
        <v>-103000</v>
      </c>
      <c r="V33" s="227">
        <f t="shared" si="28"/>
        <v>0</v>
      </c>
      <c r="W33" s="234" t="s">
        <v>331</v>
      </c>
    </row>
    <row r="34" spans="2:23" ht="12.75" customHeight="1" x14ac:dyDescent="0.35">
      <c r="B34" s="290"/>
      <c r="C34" s="100" t="s">
        <v>224</v>
      </c>
      <c r="D34" s="113">
        <v>68880</v>
      </c>
      <c r="E34" s="113"/>
      <c r="F34" s="113">
        <v>0</v>
      </c>
      <c r="G34" s="105">
        <f>G33</f>
        <v>0</v>
      </c>
      <c r="I34" s="216"/>
      <c r="J34" s="217"/>
      <c r="K34" s="217"/>
      <c r="L34" s="218"/>
      <c r="M34" s="138"/>
      <c r="N34" s="216"/>
      <c r="O34" s="217"/>
      <c r="P34" s="217"/>
      <c r="Q34" s="218"/>
      <c r="R34" s="138"/>
      <c r="S34" s="216"/>
      <c r="T34" s="217"/>
      <c r="U34" s="217"/>
      <c r="V34" s="229"/>
      <c r="W34" s="234"/>
    </row>
    <row r="35" spans="2:23" ht="12.75" customHeight="1" x14ac:dyDescent="0.35">
      <c r="B35" s="1" t="s">
        <v>51</v>
      </c>
      <c r="C35" s="83"/>
      <c r="D35" s="103">
        <v>0</v>
      </c>
      <c r="E35" s="103">
        <v>127810.85</v>
      </c>
      <c r="F35" s="103"/>
      <c r="G35" s="103">
        <f>'BASE - Pre CV-19'!O74</f>
        <v>133576.39250000002</v>
      </c>
      <c r="I35" s="196">
        <f>D35</f>
        <v>0</v>
      </c>
      <c r="J35" s="197">
        <f t="shared" ref="J35:L35" si="29">E35</f>
        <v>127810.85</v>
      </c>
      <c r="K35" s="197">
        <f t="shared" si="29"/>
        <v>0</v>
      </c>
      <c r="L35" s="198">
        <f t="shared" si="29"/>
        <v>133576.39250000002</v>
      </c>
      <c r="M35" s="138"/>
      <c r="N35" s="196">
        <f>D36</f>
        <v>0</v>
      </c>
      <c r="O35" s="197">
        <f t="shared" ref="O35:Q35" si="30">E36</f>
        <v>0</v>
      </c>
      <c r="P35" s="197">
        <f t="shared" si="30"/>
        <v>127811</v>
      </c>
      <c r="Q35" s="198">
        <f t="shared" si="30"/>
        <v>133576.39250000002</v>
      </c>
      <c r="R35" s="138"/>
      <c r="S35" s="196">
        <f>N35-I35</f>
        <v>0</v>
      </c>
      <c r="T35" s="197">
        <f t="shared" ref="T35:V35" si="31">O35-J35</f>
        <v>-127810.85</v>
      </c>
      <c r="U35" s="197">
        <f t="shared" si="31"/>
        <v>127811</v>
      </c>
      <c r="V35" s="227">
        <f t="shared" si="31"/>
        <v>0</v>
      </c>
      <c r="W35" s="234" t="s">
        <v>332</v>
      </c>
    </row>
    <row r="36" spans="2:23" ht="12.75" customHeight="1" x14ac:dyDescent="0.35">
      <c r="B36" s="290"/>
      <c r="C36" s="100" t="s">
        <v>224</v>
      </c>
      <c r="D36" s="113">
        <v>0</v>
      </c>
      <c r="E36" s="113">
        <v>0</v>
      </c>
      <c r="F36" s="113">
        <v>127811</v>
      </c>
      <c r="G36" s="105">
        <f>G35</f>
        <v>133576.39250000002</v>
      </c>
      <c r="I36" s="216"/>
      <c r="J36" s="217"/>
      <c r="K36" s="217"/>
      <c r="L36" s="218"/>
      <c r="M36" s="138"/>
      <c r="N36" s="216"/>
      <c r="O36" s="217"/>
      <c r="P36" s="217"/>
      <c r="Q36" s="218"/>
      <c r="R36" s="138"/>
      <c r="S36" s="216"/>
      <c r="T36" s="217"/>
      <c r="U36" s="217"/>
      <c r="V36" s="229"/>
      <c r="W36" s="234"/>
    </row>
    <row r="37" spans="2:23" ht="12.75" customHeight="1" x14ac:dyDescent="0.35">
      <c r="B37" s="1" t="s">
        <v>55</v>
      </c>
      <c r="C37" s="83"/>
      <c r="D37" s="103">
        <v>0</v>
      </c>
      <c r="E37" s="103">
        <v>201960</v>
      </c>
      <c r="F37" s="103">
        <v>0</v>
      </c>
      <c r="G37" s="103">
        <f>'BASE - Pre CV-19'!O79</f>
        <v>208508.40000000002</v>
      </c>
      <c r="I37" s="196">
        <f>D37</f>
        <v>0</v>
      </c>
      <c r="J37" s="197">
        <f t="shared" ref="J37:L37" si="32">E37</f>
        <v>201960</v>
      </c>
      <c r="K37" s="197">
        <f t="shared" si="32"/>
        <v>0</v>
      </c>
      <c r="L37" s="198">
        <f t="shared" si="32"/>
        <v>208508.40000000002</v>
      </c>
      <c r="M37" s="138"/>
      <c r="N37" s="196">
        <f>D38</f>
        <v>0</v>
      </c>
      <c r="O37" s="197">
        <f t="shared" ref="O37:Q37" si="33">E38</f>
        <v>0</v>
      </c>
      <c r="P37" s="197">
        <f t="shared" si="33"/>
        <v>0</v>
      </c>
      <c r="Q37" s="198">
        <f t="shared" si="33"/>
        <v>208508.40000000002</v>
      </c>
      <c r="R37" s="138"/>
      <c r="S37" s="196">
        <f>N37-I37</f>
        <v>0</v>
      </c>
      <c r="T37" s="197">
        <f t="shared" ref="T37:V37" si="34">O37-J37</f>
        <v>-201960</v>
      </c>
      <c r="U37" s="197">
        <f t="shared" si="34"/>
        <v>0</v>
      </c>
      <c r="V37" s="227">
        <f t="shared" si="34"/>
        <v>0</v>
      </c>
      <c r="W37" s="234"/>
    </row>
    <row r="38" spans="2:23" ht="12.75" customHeight="1" x14ac:dyDescent="0.35">
      <c r="B38" s="290"/>
      <c r="C38" s="100" t="s">
        <v>224</v>
      </c>
      <c r="D38" s="113"/>
      <c r="E38" s="113">
        <v>0</v>
      </c>
      <c r="F38" s="113"/>
      <c r="G38" s="105">
        <f>G37</f>
        <v>208508.40000000002</v>
      </c>
      <c r="I38" s="216"/>
      <c r="J38" s="217"/>
      <c r="K38" s="217"/>
      <c r="L38" s="218"/>
      <c r="M38" s="138"/>
      <c r="N38" s="216"/>
      <c r="O38" s="217"/>
      <c r="P38" s="217"/>
      <c r="Q38" s="218"/>
      <c r="R38" s="138"/>
      <c r="S38" s="216"/>
      <c r="T38" s="217"/>
      <c r="U38" s="217"/>
      <c r="V38" s="229"/>
      <c r="W38" s="234"/>
    </row>
    <row r="39" spans="2:23" ht="12.75" customHeight="1" x14ac:dyDescent="0.35">
      <c r="B39" s="1" t="s">
        <v>59</v>
      </c>
      <c r="C39" s="83"/>
      <c r="D39" s="103">
        <v>135000</v>
      </c>
      <c r="E39" s="103">
        <v>0</v>
      </c>
      <c r="F39" s="103">
        <v>5000</v>
      </c>
      <c r="G39" s="103">
        <f>'BASE - Pre CV-19'!O84</f>
        <v>5000</v>
      </c>
      <c r="I39" s="196">
        <f>D39</f>
        <v>135000</v>
      </c>
      <c r="J39" s="197">
        <f t="shared" ref="J39:L39" si="35">E39</f>
        <v>0</v>
      </c>
      <c r="K39" s="197">
        <f t="shared" si="35"/>
        <v>5000</v>
      </c>
      <c r="L39" s="198">
        <f t="shared" si="35"/>
        <v>5000</v>
      </c>
      <c r="M39" s="138"/>
      <c r="N39" s="196">
        <f>D40</f>
        <v>114827</v>
      </c>
      <c r="O39" s="197">
        <f t="shared" ref="O39:Q39" si="36">E40</f>
        <v>0</v>
      </c>
      <c r="P39" s="197">
        <f t="shared" si="36"/>
        <v>5000</v>
      </c>
      <c r="Q39" s="198">
        <f t="shared" si="36"/>
        <v>5000</v>
      </c>
      <c r="R39" s="138"/>
      <c r="S39" s="196">
        <f>N39-I39</f>
        <v>-20173</v>
      </c>
      <c r="T39" s="197">
        <f t="shared" ref="T39:V39" si="37">O39-J39</f>
        <v>0</v>
      </c>
      <c r="U39" s="197">
        <f t="shared" si="37"/>
        <v>0</v>
      </c>
      <c r="V39" s="227">
        <f t="shared" si="37"/>
        <v>0</v>
      </c>
      <c r="W39" s="234"/>
    </row>
    <row r="40" spans="2:23" ht="12.75" customHeight="1" x14ac:dyDescent="0.35">
      <c r="B40" s="98"/>
      <c r="C40" s="100" t="s">
        <v>224</v>
      </c>
      <c r="D40" s="113">
        <v>114827</v>
      </c>
      <c r="E40" s="113"/>
      <c r="F40" s="113">
        <v>5000</v>
      </c>
      <c r="G40" s="105">
        <f>G39</f>
        <v>5000</v>
      </c>
      <c r="I40" s="196"/>
      <c r="J40" s="197"/>
      <c r="K40" s="197"/>
      <c r="L40" s="198"/>
      <c r="M40" s="138"/>
      <c r="N40" s="196"/>
      <c r="O40" s="197"/>
      <c r="P40" s="197"/>
      <c r="Q40" s="198"/>
      <c r="R40" s="138"/>
      <c r="S40" s="196"/>
      <c r="T40" s="197"/>
      <c r="U40" s="197"/>
      <c r="V40" s="227"/>
      <c r="W40" s="234"/>
    </row>
    <row r="41" spans="2:23" ht="12.75" customHeight="1" x14ac:dyDescent="0.35">
      <c r="C41" s="84"/>
      <c r="D41" s="106"/>
      <c r="E41" s="107"/>
      <c r="F41" s="108"/>
      <c r="I41" s="196"/>
      <c r="J41" s="197"/>
      <c r="K41" s="197"/>
      <c r="L41" s="198"/>
      <c r="M41" s="138"/>
      <c r="N41" s="196"/>
      <c r="O41" s="197"/>
      <c r="P41" s="197"/>
      <c r="Q41" s="198"/>
      <c r="R41" s="138"/>
      <c r="S41" s="196"/>
      <c r="T41" s="197"/>
      <c r="U41" s="197"/>
      <c r="V41" s="227"/>
      <c r="W41" s="234"/>
    </row>
    <row r="42" spans="2:23" ht="12.75" customHeight="1" thickBot="1" x14ac:dyDescent="0.4">
      <c r="B42" s="6" t="s">
        <v>62</v>
      </c>
      <c r="C42" s="85"/>
      <c r="D42" s="116">
        <f>D39+D37+D35+D33+D31</f>
        <v>266416.70999999996</v>
      </c>
      <c r="E42" s="116">
        <f>E39+E37+E35+E33+E31</f>
        <v>364770.85</v>
      </c>
      <c r="F42" s="116">
        <f>F39+F37+F35+F33+F31</f>
        <v>144000</v>
      </c>
      <c r="G42" s="103">
        <f>'BASE - Pre CV-19'!O86</f>
        <v>385084.79250000004</v>
      </c>
      <c r="I42" s="196">
        <f>D42</f>
        <v>266416.70999999996</v>
      </c>
      <c r="J42" s="197">
        <f t="shared" ref="J42:L42" si="38">E42</f>
        <v>364770.85</v>
      </c>
      <c r="K42" s="197">
        <f t="shared" si="38"/>
        <v>144000</v>
      </c>
      <c r="L42" s="198">
        <f t="shared" si="38"/>
        <v>385084.79250000004</v>
      </c>
      <c r="M42" s="138"/>
      <c r="N42" s="196">
        <f>D43</f>
        <v>183707</v>
      </c>
      <c r="O42" s="197">
        <f t="shared" ref="O42:Q42" si="39">E43</f>
        <v>35000</v>
      </c>
      <c r="P42" s="197">
        <f t="shared" si="39"/>
        <v>168811</v>
      </c>
      <c r="Q42" s="198">
        <f t="shared" si="39"/>
        <v>385084.79250000004</v>
      </c>
      <c r="R42" s="138"/>
      <c r="S42" s="196">
        <f>N42-I42</f>
        <v>-82709.709999999963</v>
      </c>
      <c r="T42" s="197">
        <f t="shared" ref="T42:V42" si="40">O42-J42</f>
        <v>-329770.84999999998</v>
      </c>
      <c r="U42" s="197">
        <f t="shared" si="40"/>
        <v>24811</v>
      </c>
      <c r="V42" s="227">
        <f t="shared" si="40"/>
        <v>0</v>
      </c>
      <c r="W42" s="234" t="s">
        <v>333</v>
      </c>
    </row>
    <row r="43" spans="2:23" ht="12.75" customHeight="1" thickTop="1" x14ac:dyDescent="0.35">
      <c r="B43" s="98"/>
      <c r="C43" s="100" t="s">
        <v>224</v>
      </c>
      <c r="D43" s="113">
        <f>D40+D38+D36+D34+D32</f>
        <v>183707</v>
      </c>
      <c r="E43" s="113">
        <f>E40+E38+E36+E34+E32</f>
        <v>35000</v>
      </c>
      <c r="F43" s="113">
        <f>F40+F38+F36+F34+F32</f>
        <v>168811</v>
      </c>
      <c r="G43" s="105">
        <f>G42</f>
        <v>385084.79250000004</v>
      </c>
      <c r="I43" s="216"/>
      <c r="J43" s="217"/>
      <c r="K43" s="217"/>
      <c r="L43" s="218"/>
      <c r="M43" s="138"/>
      <c r="N43" s="216"/>
      <c r="O43" s="217"/>
      <c r="P43" s="217"/>
      <c r="Q43" s="218"/>
      <c r="R43" s="138"/>
      <c r="S43" s="216"/>
      <c r="T43" s="217"/>
      <c r="U43" s="217"/>
      <c r="V43" s="229"/>
      <c r="W43" s="234"/>
    </row>
    <row r="44" spans="2:23" ht="12.75" customHeight="1" x14ac:dyDescent="0.35">
      <c r="C44" s="84"/>
      <c r="D44" s="106"/>
      <c r="E44" s="107"/>
      <c r="F44" s="108"/>
      <c r="I44" s="219"/>
      <c r="J44" s="220"/>
      <c r="K44" s="220"/>
      <c r="L44" s="221"/>
      <c r="M44" s="138"/>
      <c r="N44" s="219"/>
      <c r="O44" s="220"/>
      <c r="P44" s="220"/>
      <c r="Q44" s="221"/>
      <c r="R44" s="138"/>
      <c r="S44" s="219"/>
      <c r="T44" s="220"/>
      <c r="U44" s="220"/>
      <c r="V44" s="230"/>
      <c r="W44" s="234"/>
    </row>
    <row r="45" spans="2:23" ht="12.75" customHeight="1" thickBot="1" x14ac:dyDescent="0.4">
      <c r="B45" s="6" t="s">
        <v>63</v>
      </c>
      <c r="C45" s="85"/>
      <c r="D45" s="103">
        <f>D42+D28+D24+D12</f>
        <v>879912.47745454544</v>
      </c>
      <c r="E45" s="103">
        <f>E42+E28+E24+E12</f>
        <v>998041.4058272728</v>
      </c>
      <c r="F45" s="103">
        <f>F42+F28+F24+F12</f>
        <v>801711.38361863652</v>
      </c>
      <c r="G45" s="103">
        <f>G42+G28+G24+G12</f>
        <v>1034248.4031926398</v>
      </c>
      <c r="H45" s="106">
        <f>G42+G28+G24+G12</f>
        <v>1034248.4031926398</v>
      </c>
      <c r="I45" s="196">
        <f>D45</f>
        <v>879912.47745454544</v>
      </c>
      <c r="J45" s="197">
        <f t="shared" ref="J45:L45" si="41">E45</f>
        <v>998041.4058272728</v>
      </c>
      <c r="K45" s="197">
        <f t="shared" si="41"/>
        <v>801711.38361863652</v>
      </c>
      <c r="L45" s="198">
        <f t="shared" si="41"/>
        <v>1034248.4031926398</v>
      </c>
      <c r="M45" s="138"/>
      <c r="N45" s="196">
        <f>D46</f>
        <v>792298</v>
      </c>
      <c r="O45" s="197">
        <f t="shared" ref="O45:Q45" si="42">E46</f>
        <v>586433.38979306817</v>
      </c>
      <c r="P45" s="197">
        <f t="shared" si="42"/>
        <v>741330.24428272177</v>
      </c>
      <c r="Q45" s="198">
        <f t="shared" si="42"/>
        <v>959731.32531131501</v>
      </c>
      <c r="R45" s="138"/>
      <c r="S45" s="196">
        <f>N45-I45</f>
        <v>-87614.477454545442</v>
      </c>
      <c r="T45" s="197">
        <f t="shared" ref="T45:V45" si="43">O45-J45</f>
        <v>-411608.01603420463</v>
      </c>
      <c r="U45" s="197">
        <f t="shared" si="43"/>
        <v>-60381.139335914748</v>
      </c>
      <c r="V45" s="227">
        <f t="shared" si="43"/>
        <v>-74517.077881324803</v>
      </c>
      <c r="W45" s="234"/>
    </row>
    <row r="46" spans="2:23" ht="12.75" customHeight="1" thickTop="1" x14ac:dyDescent="0.35">
      <c r="B46" s="98"/>
      <c r="C46" s="100" t="s">
        <v>224</v>
      </c>
      <c r="D46" s="113">
        <f>D43+D29+D25+D13</f>
        <v>792298</v>
      </c>
      <c r="E46" s="113">
        <f>E43+E29+E25+E13</f>
        <v>586433.38979306817</v>
      </c>
      <c r="F46" s="113">
        <f>F43+F29+F25+F13</f>
        <v>741330.24428272177</v>
      </c>
      <c r="G46" s="105">
        <f>G43+G29+G25+G13</f>
        <v>959731.32531131501</v>
      </c>
      <c r="I46" s="216"/>
      <c r="J46" s="217"/>
      <c r="K46" s="217"/>
      <c r="L46" s="218"/>
      <c r="M46" s="138"/>
      <c r="N46" s="216"/>
      <c r="O46" s="217"/>
      <c r="P46" s="217"/>
      <c r="Q46" s="218"/>
      <c r="R46" s="138"/>
      <c r="S46" s="216"/>
      <c r="T46" s="217"/>
      <c r="U46" s="217"/>
      <c r="V46" s="229"/>
      <c r="W46" s="234"/>
    </row>
    <row r="47" spans="2:23" ht="12.75" customHeight="1" x14ac:dyDescent="0.35">
      <c r="B47" s="98"/>
      <c r="C47" s="99"/>
      <c r="D47" s="115"/>
      <c r="E47" s="115"/>
      <c r="F47" s="116"/>
      <c r="I47" s="222"/>
      <c r="J47" s="223"/>
      <c r="K47" s="223"/>
      <c r="L47" s="224"/>
      <c r="M47" s="138"/>
      <c r="N47" s="222"/>
      <c r="O47" s="223"/>
      <c r="P47" s="223"/>
      <c r="Q47" s="224"/>
      <c r="R47" s="138"/>
      <c r="S47" s="222"/>
      <c r="T47" s="223"/>
      <c r="U47" s="223"/>
      <c r="V47" s="231"/>
      <c r="W47" s="234"/>
    </row>
    <row r="48" spans="2:23" ht="12.75" customHeight="1" x14ac:dyDescent="0.35">
      <c r="B48" s="3" t="s">
        <v>65</v>
      </c>
      <c r="D48" s="106"/>
      <c r="E48" s="107"/>
      <c r="F48" s="108"/>
      <c r="I48" s="222"/>
      <c r="J48" s="223"/>
      <c r="K48" s="223"/>
      <c r="L48" s="224"/>
      <c r="M48" s="138"/>
      <c r="N48" s="222"/>
      <c r="O48" s="223"/>
      <c r="P48" s="223"/>
      <c r="Q48" s="224"/>
      <c r="R48" s="138"/>
      <c r="S48" s="222"/>
      <c r="T48" s="223"/>
      <c r="U48" s="223"/>
      <c r="V48" s="231"/>
      <c r="W48" s="234"/>
    </row>
    <row r="49" spans="2:23" ht="12.75" customHeight="1" x14ac:dyDescent="0.35">
      <c r="B49" s="3"/>
      <c r="D49" s="106"/>
      <c r="E49" s="107"/>
      <c r="F49" s="108"/>
      <c r="I49" s="222"/>
      <c r="J49" s="223"/>
      <c r="K49" s="223"/>
      <c r="L49" s="224"/>
      <c r="M49" s="138"/>
      <c r="N49" s="222"/>
      <c r="O49" s="223"/>
      <c r="P49" s="223"/>
      <c r="Q49" s="224"/>
      <c r="R49" s="138"/>
      <c r="S49" s="222"/>
      <c r="T49" s="223"/>
      <c r="U49" s="223"/>
      <c r="V49" s="231"/>
      <c r="W49" s="234"/>
    </row>
    <row r="50" spans="2:23" ht="12.75" customHeight="1" x14ac:dyDescent="0.35">
      <c r="B50" t="s">
        <v>226</v>
      </c>
      <c r="D50" s="105">
        <v>97066</v>
      </c>
      <c r="E50" s="107"/>
      <c r="F50" s="108"/>
      <c r="I50" s="219"/>
      <c r="J50" s="220"/>
      <c r="K50" s="220"/>
      <c r="L50" s="221"/>
      <c r="M50" s="138"/>
      <c r="N50" s="219"/>
      <c r="O50" s="220"/>
      <c r="P50" s="220"/>
      <c r="Q50" s="221"/>
      <c r="R50" s="138"/>
      <c r="S50" s="219"/>
      <c r="T50" s="220"/>
      <c r="U50" s="220"/>
      <c r="V50" s="230"/>
      <c r="W50" s="234"/>
    </row>
    <row r="51" spans="2:23" ht="12.75" customHeight="1" x14ac:dyDescent="0.35">
      <c r="B51" s="3" t="s">
        <v>225</v>
      </c>
      <c r="D51" s="103">
        <v>66700</v>
      </c>
      <c r="E51" s="103">
        <v>65834</v>
      </c>
      <c r="F51" s="103">
        <v>68990</v>
      </c>
      <c r="G51" s="103">
        <f>'BASE - Pre CV-19'!O95+'BASE - Pre CV-19'!O96+'BASE - Pre CV-19'!O100</f>
        <v>66985.125599999999</v>
      </c>
      <c r="I51" s="196">
        <f>D51</f>
        <v>66700</v>
      </c>
      <c r="J51" s="197">
        <f t="shared" ref="J51:L51" si="44">E51</f>
        <v>65834</v>
      </c>
      <c r="K51" s="197">
        <f t="shared" si="44"/>
        <v>68990</v>
      </c>
      <c r="L51" s="198">
        <f t="shared" si="44"/>
        <v>66985.125599999999</v>
      </c>
      <c r="M51" s="138"/>
      <c r="N51" s="196">
        <f>D52</f>
        <v>54993</v>
      </c>
      <c r="O51" s="197">
        <f t="shared" ref="O51:Q51" si="45">E52</f>
        <v>65834</v>
      </c>
      <c r="P51" s="197">
        <f t="shared" si="45"/>
        <v>68990</v>
      </c>
      <c r="Q51" s="198">
        <f t="shared" si="45"/>
        <v>66985.125599999999</v>
      </c>
      <c r="R51" s="138"/>
      <c r="S51" s="196">
        <f>N51-I51</f>
        <v>-11707</v>
      </c>
      <c r="T51" s="197">
        <f t="shared" ref="T51:V51" si="46">O51-J51</f>
        <v>0</v>
      </c>
      <c r="U51" s="197">
        <f t="shared" si="46"/>
        <v>0</v>
      </c>
      <c r="V51" s="227">
        <f t="shared" si="46"/>
        <v>0</v>
      </c>
      <c r="W51" s="234"/>
    </row>
    <row r="52" spans="2:23" ht="12.75" customHeight="1" x14ac:dyDescent="0.35">
      <c r="B52" s="3"/>
      <c r="C52" s="100" t="s">
        <v>224</v>
      </c>
      <c r="D52" s="105">
        <v>54993</v>
      </c>
      <c r="E52" s="105">
        <v>65834</v>
      </c>
      <c r="F52" s="105">
        <v>68990</v>
      </c>
      <c r="G52" s="105">
        <f>G51</f>
        <v>66985.125599999999</v>
      </c>
      <c r="I52" s="216"/>
      <c r="J52" s="217"/>
      <c r="K52" s="217"/>
      <c r="L52" s="218"/>
      <c r="M52" s="138"/>
      <c r="N52" s="216"/>
      <c r="O52" s="217"/>
      <c r="P52" s="217"/>
      <c r="Q52" s="218"/>
      <c r="R52" s="138"/>
      <c r="S52" s="216"/>
      <c r="T52" s="217"/>
      <c r="U52" s="217"/>
      <c r="V52" s="229"/>
      <c r="W52" s="234"/>
    </row>
    <row r="53" spans="2:23" ht="12.75" customHeight="1" x14ac:dyDescent="0.35">
      <c r="B53" s="3" t="s">
        <v>73</v>
      </c>
      <c r="C53" s="33"/>
      <c r="D53" s="103">
        <v>35391.565799999997</v>
      </c>
      <c r="E53" s="103">
        <v>36821.734484000001</v>
      </c>
      <c r="F53" s="103">
        <v>38329.059794319997</v>
      </c>
      <c r="G53" s="103">
        <f>'BASE - Pre CV-19'!O115</f>
        <v>40606.326298433603</v>
      </c>
      <c r="I53" s="196">
        <f>D53</f>
        <v>35391.565799999997</v>
      </c>
      <c r="J53" s="197">
        <f t="shared" ref="J53:L53" si="47">E53</f>
        <v>36821.734484000001</v>
      </c>
      <c r="K53" s="197">
        <f t="shared" si="47"/>
        <v>38329.059794319997</v>
      </c>
      <c r="L53" s="198">
        <f t="shared" si="47"/>
        <v>40606.326298433603</v>
      </c>
      <c r="M53" s="138"/>
      <c r="N53" s="196">
        <f>D54</f>
        <v>34069</v>
      </c>
      <c r="O53" s="197">
        <f t="shared" ref="O53:Q53" si="48">E54</f>
        <v>40797</v>
      </c>
      <c r="P53" s="197">
        <f t="shared" si="48"/>
        <v>38330</v>
      </c>
      <c r="Q53" s="198">
        <f t="shared" si="48"/>
        <v>40606.326298433603</v>
      </c>
      <c r="R53" s="138"/>
      <c r="S53" s="196">
        <f>N53-I53</f>
        <v>-1322.5657999999967</v>
      </c>
      <c r="T53" s="197">
        <f t="shared" ref="T53:V53" si="49">O53-J53</f>
        <v>3975.2655159999995</v>
      </c>
      <c r="U53" s="197">
        <f t="shared" si="49"/>
        <v>0.94020568000269122</v>
      </c>
      <c r="V53" s="227">
        <f t="shared" si="49"/>
        <v>0</v>
      </c>
      <c r="W53" s="234"/>
    </row>
    <row r="54" spans="2:23" ht="12.75" customHeight="1" x14ac:dyDescent="0.35">
      <c r="B54" s="98"/>
      <c r="C54" s="100" t="s">
        <v>224</v>
      </c>
      <c r="D54" s="113">
        <v>34069</v>
      </c>
      <c r="E54" s="113">
        <v>40797</v>
      </c>
      <c r="F54" s="113">
        <v>38330</v>
      </c>
      <c r="G54" s="105">
        <f>G53</f>
        <v>40606.326298433603</v>
      </c>
      <c r="I54" s="216"/>
      <c r="J54" s="217"/>
      <c r="K54" s="217"/>
      <c r="L54" s="218"/>
      <c r="M54" s="138"/>
      <c r="N54" s="216"/>
      <c r="O54" s="217"/>
      <c r="P54" s="217"/>
      <c r="Q54" s="218"/>
      <c r="R54" s="138"/>
      <c r="S54" s="216"/>
      <c r="T54" s="217"/>
      <c r="U54" s="217"/>
      <c r="V54" s="229"/>
      <c r="W54" s="234"/>
    </row>
    <row r="55" spans="2:23" ht="12.75" customHeight="1" x14ac:dyDescent="0.35">
      <c r="B55" s="3" t="s">
        <v>85</v>
      </c>
      <c r="C55" s="33"/>
      <c r="D55" s="103">
        <v>293552</v>
      </c>
      <c r="E55" s="103">
        <v>302669.54000000004</v>
      </c>
      <c r="F55" s="103">
        <v>311786.00579999998</v>
      </c>
      <c r="G55" s="103">
        <f>'BASE - Pre CV-19'!O129</f>
        <v>321185.30402600003</v>
      </c>
      <c r="I55" s="196">
        <f>D55</f>
        <v>293552</v>
      </c>
      <c r="J55" s="197">
        <f t="shared" ref="J55:L55" si="50">E55</f>
        <v>302669.54000000004</v>
      </c>
      <c r="K55" s="197">
        <f t="shared" si="50"/>
        <v>311786.00579999998</v>
      </c>
      <c r="L55" s="198">
        <f t="shared" si="50"/>
        <v>321185.30402600003</v>
      </c>
      <c r="M55" s="138"/>
      <c r="N55" s="196">
        <f>D56</f>
        <v>257938</v>
      </c>
      <c r="O55" s="197">
        <f t="shared" ref="O55:Q55" si="51">E56</f>
        <v>302670</v>
      </c>
      <c r="P55" s="197">
        <f t="shared" si="51"/>
        <v>311786</v>
      </c>
      <c r="Q55" s="198">
        <f t="shared" si="51"/>
        <v>321185.30402600003</v>
      </c>
      <c r="R55" s="138"/>
      <c r="S55" s="196">
        <f>N55-I55</f>
        <v>-35614</v>
      </c>
      <c r="T55" s="197">
        <f t="shared" ref="T55:V55" si="52">O55-J55</f>
        <v>0.4599999999627471</v>
      </c>
      <c r="U55" s="197">
        <f t="shared" si="52"/>
        <v>-5.799999984446913E-3</v>
      </c>
      <c r="V55" s="227">
        <f t="shared" si="52"/>
        <v>0</v>
      </c>
      <c r="W55" s="234"/>
    </row>
    <row r="56" spans="2:23" ht="12.75" customHeight="1" x14ac:dyDescent="0.35">
      <c r="B56" s="98"/>
      <c r="C56" s="100" t="s">
        <v>224</v>
      </c>
      <c r="D56" s="113">
        <v>257938</v>
      </c>
      <c r="E56" s="113">
        <v>302670</v>
      </c>
      <c r="F56" s="113">
        <v>311786</v>
      </c>
      <c r="G56" s="105">
        <f>G55</f>
        <v>321185.30402600003</v>
      </c>
      <c r="I56" s="216"/>
      <c r="J56" s="217"/>
      <c r="K56" s="217"/>
      <c r="L56" s="218"/>
      <c r="M56" s="138"/>
      <c r="N56" s="216"/>
      <c r="O56" s="217"/>
      <c r="P56" s="217"/>
      <c r="Q56" s="218"/>
      <c r="R56" s="138"/>
      <c r="S56" s="216"/>
      <c r="T56" s="217"/>
      <c r="U56" s="217"/>
      <c r="V56" s="229"/>
      <c r="W56" s="234"/>
    </row>
    <row r="57" spans="2:23" ht="12.75" customHeight="1" x14ac:dyDescent="0.35">
      <c r="B57" s="3" t="s">
        <v>98</v>
      </c>
      <c r="C57" s="33"/>
      <c r="D57" s="103">
        <v>94932</v>
      </c>
      <c r="E57" s="103">
        <v>99678.6</v>
      </c>
      <c r="F57" s="103">
        <v>99678.6</v>
      </c>
      <c r="G57" s="103">
        <f>'BASE - Pre CV-19'!O136</f>
        <v>104662.53</v>
      </c>
      <c r="I57" s="196">
        <f>D57</f>
        <v>94932</v>
      </c>
      <c r="J57" s="197">
        <f t="shared" ref="J57:L57" si="53">E57</f>
        <v>99678.6</v>
      </c>
      <c r="K57" s="197">
        <f t="shared" si="53"/>
        <v>99678.6</v>
      </c>
      <c r="L57" s="198">
        <f t="shared" si="53"/>
        <v>104662.53</v>
      </c>
      <c r="M57" s="138"/>
      <c r="N57" s="196">
        <f>D58</f>
        <v>100854</v>
      </c>
      <c r="O57" s="197">
        <f t="shared" ref="O57:Q57" si="54">E58</f>
        <v>94694.67</v>
      </c>
      <c r="P57" s="197">
        <f t="shared" si="54"/>
        <v>94694.67</v>
      </c>
      <c r="Q57" s="198">
        <f t="shared" si="54"/>
        <v>99429.4035</v>
      </c>
      <c r="R57" s="138"/>
      <c r="S57" s="196">
        <f>N57-I57</f>
        <v>5922</v>
      </c>
      <c r="T57" s="197">
        <f t="shared" ref="T57:V57" si="55">O57-J57</f>
        <v>-4983.9300000000076</v>
      </c>
      <c r="U57" s="197">
        <f t="shared" si="55"/>
        <v>-4983.9300000000076</v>
      </c>
      <c r="V57" s="227">
        <f t="shared" si="55"/>
        <v>-5233.1264999999985</v>
      </c>
      <c r="W57" s="234"/>
    </row>
    <row r="58" spans="2:23" ht="12.75" customHeight="1" x14ac:dyDescent="0.35">
      <c r="C58" s="100" t="s">
        <v>224</v>
      </c>
      <c r="D58" s="118">
        <v>100854</v>
      </c>
      <c r="E58" s="118">
        <f>E57*0.95</f>
        <v>94694.67</v>
      </c>
      <c r="F58" s="118">
        <f t="shared" ref="F58:G58" si="56">F57*0.95</f>
        <v>94694.67</v>
      </c>
      <c r="G58" s="118">
        <f t="shared" si="56"/>
        <v>99429.4035</v>
      </c>
      <c r="I58" s="196"/>
      <c r="J58" s="197"/>
      <c r="K58" s="197"/>
      <c r="L58" s="198"/>
      <c r="M58" s="138"/>
      <c r="N58" s="196"/>
      <c r="O58" s="197"/>
      <c r="P58" s="197"/>
      <c r="Q58" s="198"/>
      <c r="R58" s="138"/>
      <c r="S58" s="196"/>
      <c r="T58" s="197"/>
      <c r="U58" s="197"/>
      <c r="V58" s="227"/>
      <c r="W58" s="234"/>
    </row>
    <row r="59" spans="2:23" ht="12.75" customHeight="1" x14ac:dyDescent="0.35">
      <c r="B59" s="3" t="s">
        <v>102</v>
      </c>
      <c r="C59" s="83"/>
      <c r="D59" s="103">
        <v>154690</v>
      </c>
      <c r="E59" s="103">
        <v>223723.99</v>
      </c>
      <c r="F59" s="103">
        <v>161081.476</v>
      </c>
      <c r="G59" s="103">
        <f>'BASE - Pre CV-19'!O145</f>
        <v>229500</v>
      </c>
      <c r="I59" s="196">
        <f>D59</f>
        <v>154690</v>
      </c>
      <c r="J59" s="197">
        <f t="shared" ref="J59:L59" si="57">E59</f>
        <v>223723.99</v>
      </c>
      <c r="K59" s="197">
        <f t="shared" si="57"/>
        <v>161081.476</v>
      </c>
      <c r="L59" s="198">
        <f t="shared" si="57"/>
        <v>229500</v>
      </c>
      <c r="M59" s="138"/>
      <c r="N59" s="196">
        <f>D60</f>
        <v>97645</v>
      </c>
      <c r="O59" s="197">
        <f t="shared" ref="O59:Q59" si="58">E60</f>
        <v>161081.476</v>
      </c>
      <c r="P59" s="197">
        <f t="shared" si="58"/>
        <v>223723.99</v>
      </c>
      <c r="Q59" s="198">
        <f t="shared" si="58"/>
        <v>229500</v>
      </c>
      <c r="R59" s="138"/>
      <c r="S59" s="196">
        <f>N59-I59</f>
        <v>-57045</v>
      </c>
      <c r="T59" s="197">
        <f t="shared" ref="T59:V59" si="59">O59-J59</f>
        <v>-62642.513999999996</v>
      </c>
      <c r="U59" s="197">
        <f t="shared" si="59"/>
        <v>62642.513999999996</v>
      </c>
      <c r="V59" s="227">
        <f t="shared" si="59"/>
        <v>0</v>
      </c>
      <c r="W59" s="234" t="s">
        <v>301</v>
      </c>
    </row>
    <row r="60" spans="2:23" ht="12.75" customHeight="1" x14ac:dyDescent="0.35">
      <c r="B60" s="98"/>
      <c r="C60" s="100" t="s">
        <v>224</v>
      </c>
      <c r="D60" s="113">
        <v>97645</v>
      </c>
      <c r="E60" s="113">
        <f>F59</f>
        <v>161081.476</v>
      </c>
      <c r="F60" s="113">
        <f>E59</f>
        <v>223723.99</v>
      </c>
      <c r="G60" s="105">
        <f>G59</f>
        <v>229500</v>
      </c>
      <c r="I60" s="216"/>
      <c r="J60" s="217"/>
      <c r="K60" s="217"/>
      <c r="L60" s="218"/>
      <c r="M60" s="138"/>
      <c r="N60" s="216"/>
      <c r="O60" s="217"/>
      <c r="P60" s="217"/>
      <c r="Q60" s="218"/>
      <c r="R60" s="138"/>
      <c r="S60" s="216"/>
      <c r="T60" s="217"/>
      <c r="U60" s="217"/>
      <c r="V60" s="229"/>
      <c r="W60" s="234"/>
    </row>
    <row r="61" spans="2:23" ht="12.75" customHeight="1" x14ac:dyDescent="0.35">
      <c r="B61" s="3" t="s">
        <v>110</v>
      </c>
      <c r="C61" s="84"/>
      <c r="D61" s="106">
        <v>121500</v>
      </c>
      <c r="E61" s="107">
        <v>4500</v>
      </c>
      <c r="F61" s="108"/>
      <c r="I61" s="222"/>
      <c r="J61" s="223"/>
      <c r="K61" s="223"/>
      <c r="L61" s="224"/>
      <c r="M61" s="138"/>
      <c r="N61" s="222"/>
      <c r="O61" s="223"/>
      <c r="P61" s="223"/>
      <c r="Q61" s="224"/>
      <c r="R61" s="138"/>
      <c r="S61" s="222"/>
      <c r="T61" s="223"/>
      <c r="U61" s="223"/>
      <c r="V61" s="231"/>
      <c r="W61" s="234"/>
    </row>
    <row r="62" spans="2:23" ht="12.75" customHeight="1" x14ac:dyDescent="0.35">
      <c r="C62" s="84"/>
      <c r="D62" s="106"/>
      <c r="E62" s="107"/>
      <c r="F62" s="108"/>
      <c r="I62" s="222"/>
      <c r="J62" s="223"/>
      <c r="K62" s="223"/>
      <c r="L62" s="224"/>
      <c r="M62" s="138"/>
      <c r="N62" s="222"/>
      <c r="O62" s="223"/>
      <c r="P62" s="223"/>
      <c r="Q62" s="224"/>
      <c r="R62" s="138"/>
      <c r="S62" s="222"/>
      <c r="T62" s="223"/>
      <c r="U62" s="223"/>
      <c r="V62" s="231"/>
      <c r="W62" s="234"/>
    </row>
    <row r="63" spans="2:23" ht="12.75" customHeight="1" x14ac:dyDescent="0.35">
      <c r="B63" s="3" t="s">
        <v>113</v>
      </c>
      <c r="C63" s="83"/>
      <c r="D63" s="103">
        <v>83000</v>
      </c>
      <c r="E63" s="103">
        <v>0</v>
      </c>
      <c r="F63" s="103">
        <v>87150</v>
      </c>
      <c r="G63" s="103">
        <f>'BASE - Pre CV-19'!O155</f>
        <v>0</v>
      </c>
      <c r="I63" s="196">
        <f>D63</f>
        <v>83000</v>
      </c>
      <c r="J63" s="197">
        <f t="shared" ref="J63:L63" si="60">E63</f>
        <v>0</v>
      </c>
      <c r="K63" s="197">
        <f t="shared" si="60"/>
        <v>87150</v>
      </c>
      <c r="L63" s="198">
        <f t="shared" si="60"/>
        <v>0</v>
      </c>
      <c r="M63" s="138"/>
      <c r="N63" s="196">
        <f>D64</f>
        <v>80453</v>
      </c>
      <c r="O63" s="197">
        <f t="shared" ref="O63:Q63" si="61">E64</f>
        <v>0</v>
      </c>
      <c r="P63" s="197">
        <f t="shared" si="61"/>
        <v>0</v>
      </c>
      <c r="Q63" s="198">
        <f t="shared" si="61"/>
        <v>0</v>
      </c>
      <c r="R63" s="138"/>
      <c r="S63" s="196">
        <f>N63-I63</f>
        <v>-2547</v>
      </c>
      <c r="T63" s="197">
        <f t="shared" ref="T63:V63" si="62">O63-J63</f>
        <v>0</v>
      </c>
      <c r="U63" s="197">
        <f t="shared" si="62"/>
        <v>-87150</v>
      </c>
      <c r="V63" s="227">
        <f t="shared" si="62"/>
        <v>0</v>
      </c>
      <c r="W63" s="234"/>
    </row>
    <row r="64" spans="2:23" ht="12.75" customHeight="1" x14ac:dyDescent="0.35">
      <c r="C64" s="100" t="s">
        <v>224</v>
      </c>
      <c r="D64" s="105">
        <v>80453</v>
      </c>
      <c r="E64" s="105"/>
      <c r="F64" s="105">
        <v>0</v>
      </c>
      <c r="G64" s="105">
        <f>G63</f>
        <v>0</v>
      </c>
      <c r="I64" s="216"/>
      <c r="J64" s="217"/>
      <c r="K64" s="217"/>
      <c r="L64" s="218"/>
      <c r="M64" s="138"/>
      <c r="N64" s="216"/>
      <c r="O64" s="217"/>
      <c r="P64" s="217"/>
      <c r="Q64" s="218"/>
      <c r="R64" s="138"/>
      <c r="S64" s="216"/>
      <c r="T64" s="217"/>
      <c r="U64" s="217"/>
      <c r="V64" s="229"/>
      <c r="W64" s="234"/>
    </row>
    <row r="65" spans="2:23" ht="12.75" customHeight="1" x14ac:dyDescent="0.35">
      <c r="B65" s="3" t="s">
        <v>115</v>
      </c>
      <c r="C65" s="83"/>
      <c r="D65" s="103">
        <v>0</v>
      </c>
      <c r="E65" s="103">
        <v>86111.3</v>
      </c>
      <c r="F65" s="103">
        <v>0</v>
      </c>
      <c r="G65" s="103">
        <f>'BASE - Pre CV-19'!O161</f>
        <v>86442.010000000009</v>
      </c>
      <c r="I65" s="196">
        <f>D65</f>
        <v>0</v>
      </c>
      <c r="J65" s="197">
        <f t="shared" ref="J65:L65" si="63">E65</f>
        <v>86111.3</v>
      </c>
      <c r="K65" s="197">
        <f t="shared" si="63"/>
        <v>0</v>
      </c>
      <c r="L65" s="198">
        <f t="shared" si="63"/>
        <v>86442.010000000009</v>
      </c>
      <c r="M65" s="138"/>
      <c r="N65" s="196">
        <f>D66</f>
        <v>0</v>
      </c>
      <c r="O65" s="197">
        <f t="shared" ref="O65:Q65" si="64">E66</f>
        <v>0</v>
      </c>
      <c r="P65" s="197">
        <f t="shared" si="64"/>
        <v>86111.3</v>
      </c>
      <c r="Q65" s="198">
        <f t="shared" si="64"/>
        <v>86442.010000000009</v>
      </c>
      <c r="R65" s="138"/>
      <c r="S65" s="196">
        <f>N65-I65</f>
        <v>0</v>
      </c>
      <c r="T65" s="197">
        <f t="shared" ref="T65:V65" si="65">O65-J65</f>
        <v>-86111.3</v>
      </c>
      <c r="U65" s="197">
        <f t="shared" si="65"/>
        <v>86111.3</v>
      </c>
      <c r="V65" s="227">
        <f t="shared" si="65"/>
        <v>0</v>
      </c>
      <c r="W65" s="234"/>
    </row>
    <row r="66" spans="2:23" ht="12.75" customHeight="1" x14ac:dyDescent="0.35">
      <c r="C66" s="100" t="s">
        <v>224</v>
      </c>
      <c r="D66" s="105"/>
      <c r="E66" s="105">
        <f>F65</f>
        <v>0</v>
      </c>
      <c r="F66" s="105">
        <f>E65</f>
        <v>86111.3</v>
      </c>
      <c r="G66" s="105">
        <f>G65</f>
        <v>86442.010000000009</v>
      </c>
      <c r="I66" s="216"/>
      <c r="J66" s="217"/>
      <c r="K66" s="217"/>
      <c r="L66" s="218"/>
      <c r="M66" s="138"/>
      <c r="N66" s="216"/>
      <c r="O66" s="217"/>
      <c r="P66" s="217"/>
      <c r="Q66" s="218"/>
      <c r="R66" s="138"/>
      <c r="S66" s="216"/>
      <c r="T66" s="217"/>
      <c r="U66" s="217"/>
      <c r="V66" s="229"/>
      <c r="W66" s="234"/>
    </row>
    <row r="67" spans="2:23" ht="12.75" customHeight="1" x14ac:dyDescent="0.35">
      <c r="B67" s="3" t="s">
        <v>120</v>
      </c>
      <c r="C67" s="83"/>
      <c r="D67" s="103">
        <v>0</v>
      </c>
      <c r="E67" s="103">
        <v>140700</v>
      </c>
      <c r="F67" s="103">
        <v>0</v>
      </c>
      <c r="G67" s="103">
        <f>'BASE - Pre CV-19'!O165</f>
        <v>147735</v>
      </c>
      <c r="I67" s="196">
        <f>D67</f>
        <v>0</v>
      </c>
      <c r="J67" s="197">
        <f t="shared" ref="J67:L67" si="66">E67</f>
        <v>140700</v>
      </c>
      <c r="K67" s="197">
        <f t="shared" si="66"/>
        <v>0</v>
      </c>
      <c r="L67" s="198">
        <f t="shared" si="66"/>
        <v>147735</v>
      </c>
      <c r="M67" s="138"/>
      <c r="N67" s="196">
        <f>D68</f>
        <v>0</v>
      </c>
      <c r="O67" s="197">
        <f t="shared" ref="O67:Q67" si="67">E68</f>
        <v>0</v>
      </c>
      <c r="P67" s="197">
        <f t="shared" si="67"/>
        <v>0</v>
      </c>
      <c r="Q67" s="198">
        <f t="shared" si="67"/>
        <v>147735</v>
      </c>
      <c r="R67" s="138"/>
      <c r="S67" s="196">
        <f>N67-I67</f>
        <v>0</v>
      </c>
      <c r="T67" s="197">
        <f t="shared" ref="T67:V67" si="68">O67-J67</f>
        <v>-140700</v>
      </c>
      <c r="U67" s="197">
        <f t="shared" si="68"/>
        <v>0</v>
      </c>
      <c r="V67" s="227">
        <f t="shared" si="68"/>
        <v>0</v>
      </c>
      <c r="W67" s="234"/>
    </row>
    <row r="68" spans="2:23" ht="12.75" customHeight="1" x14ac:dyDescent="0.35">
      <c r="C68" s="100" t="s">
        <v>224</v>
      </c>
      <c r="D68" s="105"/>
      <c r="E68" s="105">
        <v>0</v>
      </c>
      <c r="F68" s="105"/>
      <c r="G68" s="105">
        <f>G67</f>
        <v>147735</v>
      </c>
      <c r="I68" s="216"/>
      <c r="J68" s="217"/>
      <c r="K68" s="217"/>
      <c r="L68" s="218"/>
      <c r="M68" s="138"/>
      <c r="N68" s="216"/>
      <c r="O68" s="217"/>
      <c r="P68" s="217"/>
      <c r="Q68" s="218"/>
      <c r="R68" s="138"/>
      <c r="S68" s="216"/>
      <c r="T68" s="217"/>
      <c r="U68" s="217"/>
      <c r="V68" s="229"/>
      <c r="W68" s="234"/>
    </row>
    <row r="69" spans="2:23" ht="12.75" customHeight="1" x14ac:dyDescent="0.35">
      <c r="B69" s="3" t="s">
        <v>122</v>
      </c>
      <c r="C69" s="83"/>
      <c r="D69" s="103">
        <v>10000</v>
      </c>
      <c r="E69" s="103">
        <v>10000</v>
      </c>
      <c r="F69" s="103">
        <v>10000</v>
      </c>
      <c r="G69" s="103">
        <f>'BASE - Pre CV-19'!O169</f>
        <v>16000</v>
      </c>
      <c r="I69" s="196">
        <f>D69</f>
        <v>10000</v>
      </c>
      <c r="J69" s="197">
        <f t="shared" ref="J69:L69" si="69">E69</f>
        <v>10000</v>
      </c>
      <c r="K69" s="197">
        <f t="shared" si="69"/>
        <v>10000</v>
      </c>
      <c r="L69" s="198">
        <f t="shared" si="69"/>
        <v>16000</v>
      </c>
      <c r="M69" s="138"/>
      <c r="N69" s="196">
        <f>D70</f>
        <v>769</v>
      </c>
      <c r="O69" s="197">
        <f t="shared" ref="O69:Q69" si="70">E70</f>
        <v>10000</v>
      </c>
      <c r="P69" s="197">
        <f t="shared" si="70"/>
        <v>10000</v>
      </c>
      <c r="Q69" s="198">
        <f t="shared" si="70"/>
        <v>16000</v>
      </c>
      <c r="R69" s="138"/>
      <c r="S69" s="196">
        <f>N69-I69</f>
        <v>-9231</v>
      </c>
      <c r="T69" s="197">
        <f t="shared" ref="T69:V69" si="71">O69-J69</f>
        <v>0</v>
      </c>
      <c r="U69" s="197">
        <f t="shared" si="71"/>
        <v>0</v>
      </c>
      <c r="V69" s="227">
        <f t="shared" si="71"/>
        <v>0</v>
      </c>
      <c r="W69" s="234"/>
    </row>
    <row r="70" spans="2:23" ht="12.75" customHeight="1" x14ac:dyDescent="0.35">
      <c r="B70" s="98"/>
      <c r="C70" s="100" t="s">
        <v>224</v>
      </c>
      <c r="D70" s="113">
        <v>769</v>
      </c>
      <c r="E70" s="113">
        <v>10000</v>
      </c>
      <c r="F70" s="113">
        <v>10000</v>
      </c>
      <c r="G70" s="105">
        <f>G69</f>
        <v>16000</v>
      </c>
      <c r="I70" s="216"/>
      <c r="J70" s="217"/>
      <c r="K70" s="217"/>
      <c r="L70" s="218"/>
      <c r="M70" s="138"/>
      <c r="N70" s="216"/>
      <c r="O70" s="217"/>
      <c r="P70" s="217"/>
      <c r="Q70" s="218"/>
      <c r="R70" s="138"/>
      <c r="S70" s="216"/>
      <c r="T70" s="217"/>
      <c r="U70" s="217"/>
      <c r="V70" s="229"/>
      <c r="W70" s="234"/>
    </row>
    <row r="71" spans="2:23" ht="12.75" customHeight="1" thickBot="1" x14ac:dyDescent="0.4">
      <c r="B71" s="6" t="s">
        <v>125</v>
      </c>
      <c r="C71" s="85"/>
      <c r="D71" s="103">
        <f>D69+D67+D65+D63+D61</f>
        <v>214500</v>
      </c>
      <c r="E71" s="103">
        <f>E69+E67+E65+E63+E61</f>
        <v>241311.3</v>
      </c>
      <c r="F71" s="103">
        <f>F69+F67+F65+F63</f>
        <v>97150</v>
      </c>
      <c r="G71" s="103">
        <f>'BASE - Pre CV-19'!O171</f>
        <v>253677.01</v>
      </c>
      <c r="I71" s="196">
        <f>D71</f>
        <v>214500</v>
      </c>
      <c r="J71" s="197">
        <f t="shared" ref="J71:L71" si="72">E71</f>
        <v>241311.3</v>
      </c>
      <c r="K71" s="197">
        <f t="shared" si="72"/>
        <v>97150</v>
      </c>
      <c r="L71" s="198">
        <f t="shared" si="72"/>
        <v>253677.01</v>
      </c>
      <c r="M71" s="138"/>
      <c r="N71" s="196">
        <f>D72</f>
        <v>81278.22</v>
      </c>
      <c r="O71" s="197">
        <f t="shared" ref="O71:Q71" si="73">E72</f>
        <v>14500</v>
      </c>
      <c r="P71" s="197">
        <f t="shared" si="73"/>
        <v>96111.3</v>
      </c>
      <c r="Q71" s="198">
        <f t="shared" si="73"/>
        <v>253677.01</v>
      </c>
      <c r="R71" s="138"/>
      <c r="S71" s="196">
        <f>N71-I71</f>
        <v>-133221.78</v>
      </c>
      <c r="T71" s="197">
        <f t="shared" ref="T71:V71" si="74">O71-J71</f>
        <v>-226811.3</v>
      </c>
      <c r="U71" s="197">
        <f t="shared" si="74"/>
        <v>-1038.6999999999971</v>
      </c>
      <c r="V71" s="227">
        <f t="shared" si="74"/>
        <v>0</v>
      </c>
      <c r="W71" s="234" t="s">
        <v>334</v>
      </c>
    </row>
    <row r="72" spans="2:23" ht="12.75" customHeight="1" thickTop="1" x14ac:dyDescent="0.35">
      <c r="B72" s="98"/>
      <c r="C72" s="100" t="s">
        <v>224</v>
      </c>
      <c r="D72" s="105">
        <f>D70+D68+D66+D64+56.22</f>
        <v>81278.22</v>
      </c>
      <c r="E72" s="105">
        <f>E70+E68+E66+E64+4500</f>
        <v>14500</v>
      </c>
      <c r="F72" s="105">
        <f>F70+F68+F66+F64</f>
        <v>96111.3</v>
      </c>
      <c r="G72" s="105">
        <f>G71</f>
        <v>253677.01</v>
      </c>
      <c r="I72" s="216"/>
      <c r="J72" s="217"/>
      <c r="K72" s="217"/>
      <c r="L72" s="218"/>
      <c r="M72" s="138"/>
      <c r="N72" s="216"/>
      <c r="O72" s="217"/>
      <c r="P72" s="217"/>
      <c r="Q72" s="218"/>
      <c r="R72" s="138"/>
      <c r="S72" s="216"/>
      <c r="T72" s="217"/>
      <c r="U72" s="217"/>
      <c r="V72" s="229"/>
      <c r="W72" s="234"/>
    </row>
    <row r="73" spans="2:23" ht="12.75" customHeight="1" thickBot="1" x14ac:dyDescent="0.4">
      <c r="B73" s="6" t="s">
        <v>126</v>
      </c>
      <c r="C73" s="85"/>
      <c r="D73" s="103">
        <f>D71+D59+D57+D55+D53+D51</f>
        <v>859765.56579999998</v>
      </c>
      <c r="E73" s="103">
        <f>E71+E59+E57+E55+E53+E51</f>
        <v>970039.16448400007</v>
      </c>
      <c r="F73" s="103">
        <f>F71+F59+F57+F55+F53+F51</f>
        <v>777015.14159432007</v>
      </c>
      <c r="G73" s="103">
        <f>'BASE - Pre CV-19'!O173</f>
        <v>1016616.2959244336</v>
      </c>
      <c r="I73" s="196">
        <f>D73</f>
        <v>859765.56579999998</v>
      </c>
      <c r="J73" s="197">
        <f t="shared" ref="J73:L73" si="75">E73</f>
        <v>970039.16448400007</v>
      </c>
      <c r="K73" s="197">
        <f t="shared" si="75"/>
        <v>777015.14159432007</v>
      </c>
      <c r="L73" s="198">
        <f t="shared" si="75"/>
        <v>1016616.2959244336</v>
      </c>
      <c r="M73" s="138"/>
      <c r="N73" s="196">
        <f>D74</f>
        <v>723843.22</v>
      </c>
      <c r="O73" s="197">
        <f t="shared" ref="O73:Q73" si="76">E74</f>
        <v>679577.14600000007</v>
      </c>
      <c r="P73" s="197">
        <f t="shared" si="76"/>
        <v>833635.96000000008</v>
      </c>
      <c r="Q73" s="198">
        <f t="shared" si="76"/>
        <v>1016616.2959244336</v>
      </c>
      <c r="R73" s="138"/>
      <c r="S73" s="196">
        <f>N73-I73</f>
        <v>-135922.34580000001</v>
      </c>
      <c r="T73" s="197">
        <f t="shared" ref="T73:V73" si="77">O73-J73</f>
        <v>-290462.018484</v>
      </c>
      <c r="U73" s="197">
        <f t="shared" si="77"/>
        <v>56620.818405680009</v>
      </c>
      <c r="V73" s="227">
        <f t="shared" si="77"/>
        <v>0</v>
      </c>
      <c r="W73" s="234"/>
    </row>
    <row r="74" spans="2:23" ht="12.75" customHeight="1" thickTop="1" x14ac:dyDescent="0.35">
      <c r="B74" s="98"/>
      <c r="C74" s="100" t="s">
        <v>224</v>
      </c>
      <c r="D74" s="113">
        <f>D72+D60+D56+D54+D52+D50+D58</f>
        <v>723843.22</v>
      </c>
      <c r="E74" s="113">
        <f>E72+E60+E56+E54+E52+E50+E58</f>
        <v>679577.14600000007</v>
      </c>
      <c r="F74" s="113">
        <f>F72+F60+F56+F54+F52+F50+F58</f>
        <v>833635.96000000008</v>
      </c>
      <c r="G74" s="105">
        <f>G73</f>
        <v>1016616.2959244336</v>
      </c>
      <c r="I74" s="216"/>
      <c r="J74" s="217"/>
      <c r="K74" s="217"/>
      <c r="L74" s="218"/>
      <c r="M74" s="138"/>
      <c r="N74" s="216"/>
      <c r="O74" s="217"/>
      <c r="P74" s="217"/>
      <c r="Q74" s="218"/>
      <c r="R74" s="138"/>
      <c r="S74" s="216"/>
      <c r="T74" s="217"/>
      <c r="U74" s="217"/>
      <c r="V74" s="229"/>
      <c r="W74" s="234"/>
    </row>
    <row r="75" spans="2:23" ht="12.75" customHeight="1" thickBot="1" x14ac:dyDescent="0.4">
      <c r="B75" s="6" t="s">
        <v>168</v>
      </c>
      <c r="C75" s="85" t="s">
        <v>227</v>
      </c>
      <c r="D75" s="103">
        <f>D45-D73</f>
        <v>20146.91165454546</v>
      </c>
      <c r="E75" s="103">
        <f>E45-E73</f>
        <v>28002.241343272734</v>
      </c>
      <c r="F75" s="103">
        <f>F45-F73</f>
        <v>24696.242024316452</v>
      </c>
      <c r="G75" s="103">
        <f>G45-G73</f>
        <v>17632.107268206193</v>
      </c>
      <c r="I75" s="199">
        <f>D75</f>
        <v>20146.91165454546</v>
      </c>
      <c r="J75" s="200">
        <f t="shared" ref="J75:L75" si="78">E75</f>
        <v>28002.241343272734</v>
      </c>
      <c r="K75" s="200">
        <f t="shared" si="78"/>
        <v>24696.242024316452</v>
      </c>
      <c r="L75" s="201">
        <f t="shared" si="78"/>
        <v>17632.107268206193</v>
      </c>
      <c r="M75" s="138"/>
      <c r="N75" s="199">
        <f>D76</f>
        <v>68454.780000000028</v>
      </c>
      <c r="O75" s="200">
        <f t="shared" ref="O75:Q75" si="79">E76</f>
        <v>-93143.756206931896</v>
      </c>
      <c r="P75" s="200">
        <f t="shared" si="79"/>
        <v>-92305.715717278305</v>
      </c>
      <c r="Q75" s="201">
        <f t="shared" si="79"/>
        <v>-56884.97061311861</v>
      </c>
      <c r="R75" s="138"/>
      <c r="S75" s="199">
        <f>N75-I75</f>
        <v>48307.868345454568</v>
      </c>
      <c r="T75" s="200">
        <f t="shared" ref="T75:V75" si="80">O75-J75</f>
        <v>-121145.99755020463</v>
      </c>
      <c r="U75" s="200">
        <f t="shared" si="80"/>
        <v>-117001.95774159476</v>
      </c>
      <c r="V75" s="232">
        <f t="shared" si="80"/>
        <v>-74517.077881324803</v>
      </c>
      <c r="W75" s="235"/>
    </row>
    <row r="76" spans="2:23" ht="12.75" customHeight="1" thickTop="1" x14ac:dyDescent="0.35">
      <c r="B76" s="98"/>
      <c r="C76" s="100" t="s">
        <v>224</v>
      </c>
      <c r="D76" s="113">
        <f>D46-D74</f>
        <v>68454.780000000028</v>
      </c>
      <c r="E76" s="135">
        <f>E46-E74</f>
        <v>-93143.756206931896</v>
      </c>
      <c r="F76" s="135">
        <f>F46-F74</f>
        <v>-92305.715717278305</v>
      </c>
      <c r="G76" s="135">
        <f>G46-G74</f>
        <v>-56884.97061311861</v>
      </c>
      <c r="H76" s="106"/>
      <c r="I76" s="138"/>
      <c r="J76" s="138"/>
      <c r="K76" s="138"/>
      <c r="L76" s="138"/>
      <c r="M76" s="138"/>
      <c r="N76" s="138"/>
      <c r="O76" s="138"/>
      <c r="P76" s="138"/>
      <c r="Q76" s="138"/>
      <c r="R76" s="138"/>
      <c r="S76" s="138"/>
      <c r="T76" s="138"/>
      <c r="U76" s="138"/>
      <c r="V76" s="138"/>
    </row>
    <row r="77" spans="2:23" ht="12.75" customHeight="1" x14ac:dyDescent="0.35">
      <c r="I77" s="138"/>
      <c r="J77" s="138"/>
      <c r="K77" s="138"/>
      <c r="L77" s="138"/>
      <c r="M77" s="138"/>
      <c r="N77" s="138"/>
      <c r="O77" s="138"/>
      <c r="P77" s="138"/>
      <c r="Q77" s="138"/>
      <c r="R77" s="138"/>
      <c r="S77" s="138"/>
      <c r="T77" s="138"/>
      <c r="U77" s="138"/>
      <c r="V77" s="138"/>
    </row>
    <row r="78" spans="2:23" ht="16.5" customHeight="1" x14ac:dyDescent="0.35"/>
    <row r="79" spans="2:23" ht="12.75" customHeight="1" x14ac:dyDescent="0.35">
      <c r="C79" s="78"/>
      <c r="D79" s="47">
        <v>43983</v>
      </c>
      <c r="E79" s="46">
        <v>44348</v>
      </c>
      <c r="F79" s="46">
        <v>44713</v>
      </c>
      <c r="G79" s="46">
        <v>45078</v>
      </c>
    </row>
    <row r="80" spans="2:23" ht="12.75" customHeight="1" x14ac:dyDescent="0.35">
      <c r="B80" s="31"/>
      <c r="C80" s="79"/>
      <c r="D80" s="9" t="s">
        <v>132</v>
      </c>
      <c r="E80" s="44" t="s">
        <v>132</v>
      </c>
      <c r="F80" s="9" t="s">
        <v>132</v>
      </c>
      <c r="G80" s="9" t="s">
        <v>132</v>
      </c>
    </row>
    <row r="81" spans="2:5" ht="12.75" customHeight="1" x14ac:dyDescent="0.35">
      <c r="B81" s="31"/>
      <c r="D81" s="31"/>
      <c r="E81" s="31"/>
    </row>
    <row r="82" spans="2:5" ht="12.75" customHeight="1" x14ac:dyDescent="0.35">
      <c r="B82" s="31"/>
      <c r="D82" s="31"/>
      <c r="E82" s="31"/>
    </row>
    <row r="83" spans="2:5" ht="12.75" customHeight="1" x14ac:dyDescent="0.35">
      <c r="B83" s="26"/>
      <c r="D83" s="31"/>
      <c r="E83" s="31"/>
    </row>
    <row r="84" spans="2:5" ht="27.75" customHeight="1" x14ac:dyDescent="0.35">
      <c r="B84" s="26"/>
      <c r="D84" s="31"/>
      <c r="E84" s="31"/>
    </row>
    <row r="85" spans="2:5" ht="12.75" customHeight="1" x14ac:dyDescent="0.35">
      <c r="B85" s="54"/>
      <c r="D85" s="31"/>
      <c r="E85" s="31"/>
    </row>
    <row r="86" spans="2:5" ht="12.75" customHeight="1" x14ac:dyDescent="0.35">
      <c r="B86" s="54"/>
      <c r="D86" s="31"/>
      <c r="E86" s="31"/>
    </row>
    <row r="87" spans="2:5" ht="12.75" customHeight="1" x14ac:dyDescent="0.35">
      <c r="B87" s="55"/>
      <c r="D87" s="31"/>
      <c r="E87" s="31"/>
    </row>
    <row r="88" spans="2:5" ht="12.75" customHeight="1" x14ac:dyDescent="0.35">
      <c r="B88" s="54"/>
      <c r="D88" s="31"/>
      <c r="E88" s="31"/>
    </row>
    <row r="89" spans="2:5" ht="12.75" customHeight="1" x14ac:dyDescent="0.35">
      <c r="B89" s="54"/>
      <c r="D89" s="31"/>
      <c r="E89" s="31"/>
    </row>
    <row r="90" spans="2:5" ht="12.75" customHeight="1" x14ac:dyDescent="0.35">
      <c r="B90" s="55"/>
      <c r="D90" s="31"/>
      <c r="E90" s="31"/>
    </row>
    <row r="91" spans="2:5" ht="12.75" customHeight="1" x14ac:dyDescent="0.35">
      <c r="B91" s="55"/>
      <c r="D91" s="31"/>
      <c r="E91" s="31"/>
    </row>
    <row r="92" spans="2:5" ht="12.75" customHeight="1" x14ac:dyDescent="0.35">
      <c r="B92" s="54"/>
      <c r="D92" s="31"/>
      <c r="E92" s="31"/>
    </row>
    <row r="93" spans="2:5" ht="12.75" customHeight="1" x14ac:dyDescent="0.35">
      <c r="B93" s="54"/>
      <c r="D93" s="31"/>
      <c r="E93" s="31"/>
    </row>
    <row r="94" spans="2:5" ht="12.75" customHeight="1" x14ac:dyDescent="0.35">
      <c r="B94" s="54"/>
      <c r="D94" s="31"/>
      <c r="E94" s="31"/>
    </row>
    <row r="95" spans="2:5" ht="12.75" customHeight="1" x14ac:dyDescent="0.35">
      <c r="B95" s="54"/>
      <c r="D95" s="31"/>
      <c r="E95" s="31"/>
    </row>
    <row r="96" spans="2:5" ht="12.75" customHeight="1" x14ac:dyDescent="0.35">
      <c r="B96" s="54"/>
      <c r="D96" s="31"/>
      <c r="E96" s="31"/>
    </row>
    <row r="97" spans="2:5" ht="12.75" customHeight="1" x14ac:dyDescent="0.35">
      <c r="B97" s="54"/>
      <c r="D97" s="31"/>
      <c r="E97" s="31"/>
    </row>
    <row r="98" spans="2:5" ht="12.75" customHeight="1" x14ac:dyDescent="0.35">
      <c r="B98" s="55"/>
      <c r="D98" s="31"/>
      <c r="E98" s="31"/>
    </row>
    <row r="99" spans="2:5" ht="12.75" customHeight="1" x14ac:dyDescent="0.35">
      <c r="B99" s="54"/>
      <c r="D99" s="31"/>
      <c r="E99" s="31"/>
    </row>
    <row r="100" spans="2:5" ht="12.75" customHeight="1" x14ac:dyDescent="0.35">
      <c r="B100" s="55"/>
      <c r="D100" s="31"/>
      <c r="E100" s="31"/>
    </row>
    <row r="101" spans="2:5" ht="12.75" customHeight="1" x14ac:dyDescent="0.35">
      <c r="B101" s="55"/>
      <c r="D101" s="31"/>
      <c r="E101" s="31"/>
    </row>
    <row r="102" spans="2:5" ht="12.75" customHeight="1" x14ac:dyDescent="0.35">
      <c r="B102" s="54"/>
      <c r="D102" s="31"/>
      <c r="E102" s="31"/>
    </row>
    <row r="103" spans="2:5" ht="12.75" customHeight="1" x14ac:dyDescent="0.35">
      <c r="B103" s="55"/>
      <c r="D103" s="31"/>
      <c r="E103" s="31"/>
    </row>
    <row r="104" spans="2:5" ht="12.75" customHeight="1" x14ac:dyDescent="0.35">
      <c r="B104" s="54"/>
      <c r="D104" s="31"/>
      <c r="E104" s="31"/>
    </row>
    <row r="105" spans="2:5" ht="12.75" customHeight="1" x14ac:dyDescent="0.35">
      <c r="B105" s="54"/>
      <c r="D105" s="31"/>
      <c r="E105" s="31"/>
    </row>
    <row r="106" spans="2:5" ht="12.75" customHeight="1" x14ac:dyDescent="0.35">
      <c r="B106" s="54"/>
      <c r="D106" s="31"/>
      <c r="E106" s="31"/>
    </row>
    <row r="107" spans="2:5" ht="12.75" customHeight="1" x14ac:dyDescent="0.35">
      <c r="B107" s="54"/>
      <c r="D107" s="31"/>
      <c r="E107" s="31"/>
    </row>
    <row r="108" spans="2:5" ht="12.75" customHeight="1" x14ac:dyDescent="0.35">
      <c r="B108" s="54"/>
      <c r="D108" s="31"/>
      <c r="E108" s="31"/>
    </row>
    <row r="109" spans="2:5" ht="12.75" customHeight="1" x14ac:dyDescent="0.35">
      <c r="B109" s="54"/>
      <c r="D109" s="31"/>
      <c r="E109" s="31"/>
    </row>
    <row r="110" spans="2:5" ht="12.75" customHeight="1" x14ac:dyDescent="0.35">
      <c r="B110" s="54"/>
      <c r="D110" s="31"/>
      <c r="E110" s="31"/>
    </row>
    <row r="111" spans="2:5" ht="12.75" customHeight="1" x14ac:dyDescent="0.35">
      <c r="B111" s="54"/>
      <c r="D111" s="31"/>
      <c r="E111" s="31"/>
    </row>
    <row r="112" spans="2:5" ht="12.75" customHeight="1" x14ac:dyDescent="0.35">
      <c r="B112" s="54"/>
      <c r="D112" s="31"/>
      <c r="E112" s="31"/>
    </row>
    <row r="113" spans="2:5" ht="12.75" customHeight="1" x14ac:dyDescent="0.35">
      <c r="B113" s="54"/>
      <c r="D113" s="31"/>
      <c r="E113" s="31"/>
    </row>
    <row r="114" spans="2:5" ht="12.75" customHeight="1" x14ac:dyDescent="0.35">
      <c r="B114" s="54"/>
      <c r="D114" s="31"/>
      <c r="E114" s="31"/>
    </row>
    <row r="115" spans="2:5" ht="12.75" customHeight="1" x14ac:dyDescent="0.35">
      <c r="B115" s="54"/>
      <c r="D115" s="31"/>
      <c r="E115" s="31"/>
    </row>
    <row r="116" spans="2:5" ht="12.75" customHeight="1" x14ac:dyDescent="0.35">
      <c r="B116" s="54"/>
      <c r="D116" s="31"/>
      <c r="E116" s="31"/>
    </row>
    <row r="117" spans="2:5" ht="12.75" customHeight="1" x14ac:dyDescent="0.35">
      <c r="B117" s="31"/>
      <c r="D117" s="31"/>
      <c r="E117" s="31"/>
    </row>
    <row r="118" spans="2:5" ht="12.75" customHeight="1" x14ac:dyDescent="0.35">
      <c r="B118" s="31"/>
      <c r="D118" s="31"/>
      <c r="E118" s="31"/>
    </row>
    <row r="119" spans="2:5" ht="12.75" customHeight="1" x14ac:dyDescent="0.35">
      <c r="B119" s="31"/>
      <c r="D119" s="31"/>
      <c r="E119" s="31"/>
    </row>
    <row r="120" spans="2:5" ht="12.75" customHeight="1" x14ac:dyDescent="0.35">
      <c r="B120" s="31"/>
      <c r="D120" s="31"/>
      <c r="E120" s="31"/>
    </row>
    <row r="121" spans="2:5" ht="12.75" customHeight="1" x14ac:dyDescent="0.35">
      <c r="B121" s="31"/>
      <c r="D121" s="31"/>
      <c r="E121" s="31"/>
    </row>
    <row r="122" spans="2:5" ht="12.75" customHeight="1" x14ac:dyDescent="0.35">
      <c r="B122" s="31"/>
      <c r="D122" s="31"/>
      <c r="E122" s="31"/>
    </row>
    <row r="123" spans="2:5" ht="12.75" customHeight="1" x14ac:dyDescent="0.35">
      <c r="B123" s="31"/>
      <c r="D123" s="31"/>
      <c r="E123" s="31"/>
    </row>
    <row r="124" spans="2:5" ht="12.75" customHeight="1" x14ac:dyDescent="0.35">
      <c r="B124" s="31"/>
      <c r="D124" s="31"/>
      <c r="E124" s="31"/>
    </row>
    <row r="125" spans="2:5" ht="12.75" customHeight="1" x14ac:dyDescent="0.35">
      <c r="B125" s="31"/>
      <c r="D125" s="31"/>
      <c r="E125" s="31"/>
    </row>
    <row r="126" spans="2:5" ht="12.75" customHeight="1" x14ac:dyDescent="0.35">
      <c r="B126" s="31"/>
      <c r="D126" s="31"/>
      <c r="E126" s="31"/>
    </row>
    <row r="127" spans="2:5" ht="12.75" customHeight="1" x14ac:dyDescent="0.35">
      <c r="B127" s="31"/>
      <c r="D127" s="31"/>
      <c r="E127" s="31"/>
    </row>
    <row r="128" spans="2:5" ht="12.75" customHeight="1" x14ac:dyDescent="0.35">
      <c r="B128" s="31"/>
      <c r="D128" s="31"/>
      <c r="E128" s="31"/>
    </row>
    <row r="129" spans="2:5" ht="12.75" customHeight="1" x14ac:dyDescent="0.35">
      <c r="B129" s="31"/>
      <c r="D129" s="31"/>
      <c r="E129" s="31"/>
    </row>
    <row r="130" spans="2:5" ht="12.75" customHeight="1" x14ac:dyDescent="0.35">
      <c r="B130" s="31"/>
      <c r="D130" s="31"/>
      <c r="E130" s="31"/>
    </row>
    <row r="131" spans="2:5" ht="12.75" customHeight="1" x14ac:dyDescent="0.35">
      <c r="B131" s="31"/>
      <c r="D131" s="31"/>
      <c r="E131" s="31"/>
    </row>
    <row r="132" spans="2:5" ht="12.75" customHeight="1" x14ac:dyDescent="0.35">
      <c r="B132" s="31"/>
      <c r="D132" s="31"/>
      <c r="E132" s="31"/>
    </row>
    <row r="133" spans="2:5" ht="12.75" customHeight="1" x14ac:dyDescent="0.35">
      <c r="B133" s="31"/>
      <c r="D133" s="31"/>
      <c r="E133" s="31"/>
    </row>
    <row r="134" spans="2:5" ht="12.75" customHeight="1" x14ac:dyDescent="0.35">
      <c r="B134" s="31"/>
      <c r="D134" s="31"/>
      <c r="E134" s="31"/>
    </row>
    <row r="135" spans="2:5" ht="12.75" customHeight="1" x14ac:dyDescent="0.35">
      <c r="B135" s="31"/>
      <c r="D135" s="31"/>
      <c r="E135" s="31"/>
    </row>
    <row r="136" spans="2:5" ht="12.75" customHeight="1" x14ac:dyDescent="0.35">
      <c r="B136" s="31"/>
      <c r="D136" s="31"/>
      <c r="E136" s="31"/>
    </row>
    <row r="137" spans="2:5" ht="12.75" customHeight="1" x14ac:dyDescent="0.35">
      <c r="B137" s="31"/>
      <c r="D137" s="31"/>
      <c r="E137" s="31"/>
    </row>
    <row r="138" spans="2:5" ht="12.75" customHeight="1" x14ac:dyDescent="0.35">
      <c r="B138" s="31"/>
      <c r="D138" s="31"/>
      <c r="E138" s="31"/>
    </row>
    <row r="139" spans="2:5" ht="12.75" customHeight="1" x14ac:dyDescent="0.35">
      <c r="B139" s="31"/>
      <c r="D139" s="31"/>
      <c r="E139" s="31"/>
    </row>
    <row r="140" spans="2:5" ht="12.75" customHeight="1" x14ac:dyDescent="0.35">
      <c r="B140" s="31"/>
      <c r="D140" s="31"/>
      <c r="E140" s="31"/>
    </row>
    <row r="141" spans="2:5" ht="12.75" customHeight="1" x14ac:dyDescent="0.35">
      <c r="B141" s="31"/>
      <c r="D141" s="31"/>
      <c r="E141" s="31"/>
    </row>
    <row r="142" spans="2:5" ht="12.75" customHeight="1" x14ac:dyDescent="0.35">
      <c r="B142" s="31"/>
      <c r="D142" s="31"/>
      <c r="E142" s="31"/>
    </row>
    <row r="143" spans="2:5" ht="12.75" customHeight="1" x14ac:dyDescent="0.35">
      <c r="B143" s="31"/>
      <c r="D143" s="31"/>
      <c r="E143" s="31"/>
    </row>
    <row r="144" spans="2:5" ht="12.75" customHeight="1" x14ac:dyDescent="0.35">
      <c r="B144" s="31"/>
      <c r="D144" s="31"/>
      <c r="E144" s="31"/>
    </row>
    <row r="145" spans="2:5" ht="12.75" customHeight="1" x14ac:dyDescent="0.35">
      <c r="B145" s="31"/>
      <c r="D145" s="31"/>
      <c r="E145" s="31"/>
    </row>
    <row r="146" spans="2:5" ht="12.75" customHeight="1" x14ac:dyDescent="0.35">
      <c r="B146" s="31"/>
      <c r="D146" s="31"/>
      <c r="E146" s="31"/>
    </row>
    <row r="147" spans="2:5" ht="12.75" customHeight="1" x14ac:dyDescent="0.35">
      <c r="B147" s="31"/>
      <c r="D147" s="31"/>
      <c r="E147" s="31"/>
    </row>
    <row r="148" spans="2:5" ht="12.75" customHeight="1" x14ac:dyDescent="0.35">
      <c r="B148" s="31"/>
      <c r="D148" s="31"/>
      <c r="E148" s="31"/>
    </row>
    <row r="149" spans="2:5" ht="12.75" customHeight="1" x14ac:dyDescent="0.35">
      <c r="B149" s="31"/>
      <c r="D149" s="31"/>
      <c r="E149" s="31"/>
    </row>
    <row r="150" spans="2:5" ht="12.75" customHeight="1" x14ac:dyDescent="0.35">
      <c r="B150" s="31"/>
      <c r="D150" s="31"/>
      <c r="E150" s="31"/>
    </row>
    <row r="151" spans="2:5" ht="12.75" customHeight="1" x14ac:dyDescent="0.35">
      <c r="B151" s="31"/>
      <c r="D151" s="31"/>
      <c r="E151" s="31"/>
    </row>
    <row r="152" spans="2:5" ht="12.75" customHeight="1" x14ac:dyDescent="0.35">
      <c r="B152" s="31"/>
      <c r="D152" s="31"/>
      <c r="E152" s="31"/>
    </row>
    <row r="153" spans="2:5" ht="12.75" customHeight="1" x14ac:dyDescent="0.35">
      <c r="B153" s="31"/>
      <c r="D153" s="31"/>
      <c r="E153" s="31"/>
    </row>
    <row r="154" spans="2:5" ht="12.75" customHeight="1" x14ac:dyDescent="0.35">
      <c r="B154" s="31"/>
      <c r="D154" s="31"/>
      <c r="E154" s="31"/>
    </row>
    <row r="155" spans="2:5" ht="12.75" customHeight="1" x14ac:dyDescent="0.35">
      <c r="B155" s="31"/>
      <c r="D155" s="31"/>
      <c r="E155" s="31"/>
    </row>
    <row r="156" spans="2:5" ht="12.75" customHeight="1" x14ac:dyDescent="0.35">
      <c r="B156" s="31"/>
      <c r="D156" s="31"/>
      <c r="E156" s="31"/>
    </row>
    <row r="157" spans="2:5" ht="12.75" customHeight="1" x14ac:dyDescent="0.35">
      <c r="B157" s="31"/>
      <c r="D157" s="31"/>
      <c r="E157" s="31"/>
    </row>
    <row r="158" spans="2:5" ht="12.75" customHeight="1" x14ac:dyDescent="0.35">
      <c r="B158" s="31"/>
      <c r="D158" s="31"/>
      <c r="E158" s="31"/>
    </row>
    <row r="159" spans="2:5" ht="12.75" customHeight="1" x14ac:dyDescent="0.35">
      <c r="B159" s="31"/>
      <c r="D159" s="31"/>
      <c r="E159" s="31"/>
    </row>
    <row r="160" spans="2:5" ht="12.75" customHeight="1" x14ac:dyDescent="0.35">
      <c r="B160" s="31"/>
      <c r="D160" s="31"/>
      <c r="E160" s="31"/>
    </row>
    <row r="161" spans="2:5" ht="12.75" customHeight="1" x14ac:dyDescent="0.35">
      <c r="B161" s="31"/>
      <c r="D161" s="31"/>
      <c r="E161" s="31"/>
    </row>
    <row r="162" spans="2:5" ht="12.75" customHeight="1" x14ac:dyDescent="0.35">
      <c r="B162" s="31"/>
      <c r="D162" s="31"/>
      <c r="E162" s="31"/>
    </row>
    <row r="163" spans="2:5" ht="12.75" customHeight="1" x14ac:dyDescent="0.35">
      <c r="B163" s="31"/>
      <c r="D163" s="31"/>
      <c r="E163" s="31"/>
    </row>
    <row r="164" spans="2:5" ht="12.75" customHeight="1" x14ac:dyDescent="0.35">
      <c r="B164" s="31"/>
      <c r="D164" s="31"/>
      <c r="E164" s="31"/>
    </row>
    <row r="165" spans="2:5" ht="12.75" customHeight="1" x14ac:dyDescent="0.35">
      <c r="B165" s="31"/>
      <c r="D165" s="31"/>
      <c r="E165" s="31"/>
    </row>
    <row r="166" spans="2:5" ht="12.75" customHeight="1" x14ac:dyDescent="0.35">
      <c r="B166" s="31"/>
      <c r="D166" s="31"/>
      <c r="E166" s="31"/>
    </row>
    <row r="167" spans="2:5" ht="12.75" customHeight="1" x14ac:dyDescent="0.35">
      <c r="B167" s="31"/>
      <c r="D167" s="31"/>
      <c r="E167" s="31"/>
    </row>
    <row r="168" spans="2:5" ht="12.75" customHeight="1" x14ac:dyDescent="0.35">
      <c r="B168" s="31"/>
      <c r="D168" s="31"/>
      <c r="E168" s="31"/>
    </row>
    <row r="169" spans="2:5" ht="12.75" customHeight="1" x14ac:dyDescent="0.35">
      <c r="B169" s="31"/>
      <c r="D169" s="31"/>
      <c r="E169" s="31"/>
    </row>
    <row r="170" spans="2:5" ht="12.75" customHeight="1" x14ac:dyDescent="0.35">
      <c r="B170" s="31"/>
      <c r="D170" s="31"/>
      <c r="E170" s="31"/>
    </row>
    <row r="171" spans="2:5" ht="12.75" customHeight="1" x14ac:dyDescent="0.35">
      <c r="B171" s="31"/>
      <c r="D171" s="31"/>
      <c r="E171" s="31"/>
    </row>
    <row r="172" spans="2:5" ht="12.75" customHeight="1" x14ac:dyDescent="0.35">
      <c r="B172" s="31"/>
      <c r="D172" s="31"/>
      <c r="E172" s="31"/>
    </row>
    <row r="173" spans="2:5" ht="12.75" customHeight="1" x14ac:dyDescent="0.35">
      <c r="B173" s="31"/>
      <c r="D173" s="31"/>
      <c r="E173" s="31"/>
    </row>
    <row r="174" spans="2:5" ht="12.75" customHeight="1" x14ac:dyDescent="0.35">
      <c r="B174" s="31"/>
      <c r="D174" s="31"/>
      <c r="E174" s="31"/>
    </row>
    <row r="175" spans="2:5" ht="12.75" customHeight="1" x14ac:dyDescent="0.35">
      <c r="B175" s="31"/>
      <c r="D175" s="31"/>
      <c r="E175" s="31"/>
    </row>
    <row r="176" spans="2:5" ht="12.75" customHeight="1" x14ac:dyDescent="0.35">
      <c r="B176" s="31"/>
      <c r="D176" s="31"/>
      <c r="E176" s="31"/>
    </row>
    <row r="177" spans="2:5" ht="12.75" customHeight="1" x14ac:dyDescent="0.35">
      <c r="B177" s="31"/>
      <c r="D177" s="31"/>
      <c r="E177" s="31"/>
    </row>
    <row r="178" spans="2:5" ht="12.75" customHeight="1" x14ac:dyDescent="0.35">
      <c r="B178" s="31"/>
      <c r="D178" s="31"/>
      <c r="E178" s="31"/>
    </row>
    <row r="179" spans="2:5" ht="12.75" customHeight="1" x14ac:dyDescent="0.35">
      <c r="B179" s="31"/>
      <c r="D179" s="31"/>
      <c r="E179" s="31"/>
    </row>
    <row r="180" spans="2:5" ht="12.75" customHeight="1" x14ac:dyDescent="0.35">
      <c r="B180" s="31"/>
      <c r="D180" s="31"/>
      <c r="E180" s="31"/>
    </row>
    <row r="181" spans="2:5" ht="12.75" customHeight="1" x14ac:dyDescent="0.35">
      <c r="B181" s="31"/>
      <c r="D181" s="31"/>
      <c r="E181" s="31"/>
    </row>
    <row r="182" spans="2:5" ht="12.75" customHeight="1" x14ac:dyDescent="0.35">
      <c r="B182" s="31"/>
      <c r="D182" s="31"/>
      <c r="E182" s="31"/>
    </row>
    <row r="183" spans="2:5" ht="12.75" customHeight="1" x14ac:dyDescent="0.35">
      <c r="B183" s="31"/>
      <c r="D183" s="31"/>
      <c r="E183" s="31"/>
    </row>
    <row r="184" spans="2:5" ht="12.75" customHeight="1" x14ac:dyDescent="0.35">
      <c r="B184" s="31"/>
      <c r="D184" s="31"/>
      <c r="E184" s="31"/>
    </row>
    <row r="185" spans="2:5" ht="12.75" customHeight="1" x14ac:dyDescent="0.35">
      <c r="B185" s="31"/>
      <c r="D185" s="31"/>
      <c r="E185" s="31"/>
    </row>
    <row r="186" spans="2:5" ht="12.75" customHeight="1" x14ac:dyDescent="0.35">
      <c r="B186" s="31"/>
      <c r="D186" s="31"/>
      <c r="E186" s="31"/>
    </row>
    <row r="187" spans="2:5" ht="12.75" customHeight="1" x14ac:dyDescent="0.35">
      <c r="B187" s="31"/>
      <c r="D187" s="31"/>
      <c r="E187" s="31"/>
    </row>
    <row r="188" spans="2:5" ht="12.75" customHeight="1" x14ac:dyDescent="0.35">
      <c r="B188" s="31"/>
      <c r="D188" s="31"/>
      <c r="E188" s="31"/>
    </row>
    <row r="189" spans="2:5" ht="12.75" customHeight="1" x14ac:dyDescent="0.35">
      <c r="B189" s="31"/>
      <c r="D189" s="31"/>
      <c r="E189" s="31"/>
    </row>
    <row r="190" spans="2:5" ht="12.75" customHeight="1" x14ac:dyDescent="0.35">
      <c r="B190" s="31"/>
      <c r="D190" s="31"/>
      <c r="E190" s="31"/>
    </row>
    <row r="191" spans="2:5" ht="12.75" customHeight="1" x14ac:dyDescent="0.35">
      <c r="B191" s="31"/>
      <c r="D191" s="31"/>
      <c r="E191" s="31"/>
    </row>
    <row r="192" spans="2:5" ht="12.75" customHeight="1" x14ac:dyDescent="0.35">
      <c r="B192" s="31"/>
      <c r="D192" s="31"/>
      <c r="E192" s="31"/>
    </row>
    <row r="193" spans="2:5" ht="12.75" customHeight="1" x14ac:dyDescent="0.35">
      <c r="B193" s="31"/>
      <c r="D193" s="31"/>
      <c r="E193" s="31"/>
    </row>
    <row r="194" spans="2:5" ht="12.75" customHeight="1" x14ac:dyDescent="0.35">
      <c r="B194" s="31"/>
      <c r="D194" s="31"/>
      <c r="E194" s="31"/>
    </row>
    <row r="195" spans="2:5" ht="12.75" customHeight="1" x14ac:dyDescent="0.35">
      <c r="B195" s="31"/>
      <c r="D195" s="31"/>
      <c r="E195" s="31"/>
    </row>
    <row r="196" spans="2:5" ht="12.75" customHeight="1" x14ac:dyDescent="0.35">
      <c r="B196" s="31"/>
      <c r="D196" s="31"/>
      <c r="E196" s="31"/>
    </row>
    <row r="197" spans="2:5" ht="12.75" customHeight="1" x14ac:dyDescent="0.35">
      <c r="B197" s="31"/>
      <c r="D197" s="31"/>
      <c r="E197" s="31"/>
    </row>
    <row r="198" spans="2:5" ht="12.75" customHeight="1" x14ac:dyDescent="0.35">
      <c r="B198" s="31"/>
      <c r="D198" s="31"/>
      <c r="E198" s="31"/>
    </row>
    <row r="199" spans="2:5" ht="12.75" customHeight="1" x14ac:dyDescent="0.35">
      <c r="B199" s="31"/>
      <c r="D199" s="31"/>
      <c r="E199" s="31"/>
    </row>
    <row r="200" spans="2:5" ht="12.75" customHeight="1" x14ac:dyDescent="0.35">
      <c r="B200" s="31"/>
      <c r="D200" s="31"/>
      <c r="E200" s="31"/>
    </row>
    <row r="201" spans="2:5" ht="12.75" customHeight="1" x14ac:dyDescent="0.35">
      <c r="B201" s="31"/>
      <c r="D201" s="31"/>
      <c r="E201" s="31"/>
    </row>
    <row r="202" spans="2:5" ht="12.75" customHeight="1" x14ac:dyDescent="0.35">
      <c r="B202" s="31"/>
      <c r="D202" s="31"/>
      <c r="E202" s="31"/>
    </row>
    <row r="203" spans="2:5" ht="12.75" customHeight="1" x14ac:dyDescent="0.35">
      <c r="B203" s="31"/>
      <c r="D203" s="31"/>
      <c r="E203" s="31"/>
    </row>
    <row r="204" spans="2:5" ht="12.75" customHeight="1" x14ac:dyDescent="0.35">
      <c r="B204" s="31"/>
      <c r="D204" s="31"/>
      <c r="E204" s="31"/>
    </row>
    <row r="205" spans="2:5" ht="12.75" customHeight="1" x14ac:dyDescent="0.35">
      <c r="B205" s="31"/>
      <c r="D205" s="31"/>
      <c r="E205" s="31"/>
    </row>
    <row r="206" spans="2:5" ht="12.75" customHeight="1" x14ac:dyDescent="0.35">
      <c r="B206" s="31"/>
      <c r="D206" s="31"/>
      <c r="E206" s="31"/>
    </row>
    <row r="207" spans="2:5" ht="12.75" customHeight="1" x14ac:dyDescent="0.35">
      <c r="B207" s="31"/>
      <c r="D207" s="31"/>
      <c r="E207" s="31"/>
    </row>
    <row r="208" spans="2:5" ht="12.75" customHeight="1" x14ac:dyDescent="0.35">
      <c r="B208" s="31"/>
      <c r="D208" s="31"/>
      <c r="E208" s="31"/>
    </row>
    <row r="209" spans="2:5" ht="12.75" customHeight="1" x14ac:dyDescent="0.35">
      <c r="B209" s="31"/>
      <c r="D209" s="31"/>
      <c r="E209" s="31"/>
    </row>
    <row r="210" spans="2:5" ht="12.75" customHeight="1" x14ac:dyDescent="0.35">
      <c r="B210" s="31"/>
      <c r="D210" s="31"/>
      <c r="E210" s="31"/>
    </row>
    <row r="211" spans="2:5" ht="12.75" customHeight="1" x14ac:dyDescent="0.35">
      <c r="B211" s="31"/>
      <c r="D211" s="31"/>
      <c r="E211" s="31"/>
    </row>
    <row r="212" spans="2:5" ht="12.75" customHeight="1" x14ac:dyDescent="0.35">
      <c r="B212" s="31"/>
      <c r="D212" s="31"/>
      <c r="E212" s="31"/>
    </row>
    <row r="213" spans="2:5" ht="12.75" customHeight="1" x14ac:dyDescent="0.35">
      <c r="B213" s="31"/>
      <c r="D213" s="31"/>
      <c r="E213" s="31"/>
    </row>
    <row r="214" spans="2:5" ht="12.75" customHeight="1" x14ac:dyDescent="0.35">
      <c r="B214" s="31"/>
      <c r="D214" s="31"/>
      <c r="E214" s="31"/>
    </row>
    <row r="215" spans="2:5" ht="12.75" customHeight="1" x14ac:dyDescent="0.35">
      <c r="B215" s="31"/>
      <c r="D215" s="31"/>
      <c r="E215" s="31"/>
    </row>
    <row r="216" spans="2:5" ht="12.75" customHeight="1" x14ac:dyDescent="0.35">
      <c r="B216" s="31"/>
      <c r="D216" s="31"/>
      <c r="E216" s="31"/>
    </row>
    <row r="217" spans="2:5" ht="12.75" customHeight="1" x14ac:dyDescent="0.35">
      <c r="B217" s="31"/>
      <c r="D217" s="31"/>
      <c r="E217" s="31"/>
    </row>
    <row r="218" spans="2:5" ht="12.75" customHeight="1" x14ac:dyDescent="0.35">
      <c r="B218" s="31"/>
      <c r="D218" s="31"/>
      <c r="E218" s="31"/>
    </row>
    <row r="219" spans="2:5" ht="12.75" customHeight="1" x14ac:dyDescent="0.35">
      <c r="B219" s="31"/>
      <c r="D219" s="31"/>
      <c r="E219" s="31"/>
    </row>
    <row r="220" spans="2:5" ht="12.75" customHeight="1" x14ac:dyDescent="0.35">
      <c r="B220" s="31"/>
      <c r="D220" s="31"/>
      <c r="E220" s="31"/>
    </row>
    <row r="221" spans="2:5" ht="12.75" customHeight="1" x14ac:dyDescent="0.35">
      <c r="B221" s="31"/>
      <c r="D221" s="31"/>
      <c r="E221" s="31"/>
    </row>
    <row r="222" spans="2:5" ht="12.75" customHeight="1" x14ac:dyDescent="0.35">
      <c r="B222" s="31"/>
      <c r="D222" s="31"/>
      <c r="E222" s="31"/>
    </row>
    <row r="223" spans="2:5" ht="12.75" customHeight="1" x14ac:dyDescent="0.35">
      <c r="B223" s="31"/>
      <c r="D223" s="31"/>
      <c r="E223" s="31"/>
    </row>
    <row r="224" spans="2:5" ht="12.75" customHeight="1" x14ac:dyDescent="0.35">
      <c r="B224" s="31"/>
      <c r="D224" s="31"/>
      <c r="E224" s="31"/>
    </row>
    <row r="225" spans="2:5" ht="12.75" customHeight="1" x14ac:dyDescent="0.35">
      <c r="B225" s="31"/>
      <c r="D225" s="31"/>
      <c r="E225" s="31"/>
    </row>
    <row r="226" spans="2:5" ht="12.75" customHeight="1" x14ac:dyDescent="0.35">
      <c r="B226" s="31"/>
      <c r="D226" s="31"/>
      <c r="E226" s="31"/>
    </row>
    <row r="227" spans="2:5" ht="12.75" customHeight="1" x14ac:dyDescent="0.35">
      <c r="B227" s="31"/>
      <c r="D227" s="31"/>
      <c r="E227" s="31"/>
    </row>
    <row r="228" spans="2:5" ht="12.75" customHeight="1" x14ac:dyDescent="0.35">
      <c r="B228" s="31"/>
      <c r="D228" s="31"/>
      <c r="E228" s="31"/>
    </row>
    <row r="229" spans="2:5" ht="12.75" customHeight="1" x14ac:dyDescent="0.35">
      <c r="B229" s="31"/>
      <c r="D229" s="31"/>
      <c r="E229" s="31"/>
    </row>
    <row r="230" spans="2:5" ht="12.75" customHeight="1" x14ac:dyDescent="0.35">
      <c r="B230" s="31"/>
      <c r="D230" s="31"/>
      <c r="E230" s="31"/>
    </row>
    <row r="231" spans="2:5" ht="12.75" customHeight="1" x14ac:dyDescent="0.35">
      <c r="B231" s="31"/>
      <c r="D231" s="31"/>
      <c r="E231" s="31"/>
    </row>
    <row r="232" spans="2:5" ht="12.75" customHeight="1" x14ac:dyDescent="0.35">
      <c r="B232" s="31"/>
      <c r="D232" s="31"/>
      <c r="E232" s="31"/>
    </row>
    <row r="233" spans="2:5" ht="12.75" customHeight="1" x14ac:dyDescent="0.35">
      <c r="B233" s="31"/>
      <c r="D233" s="31"/>
      <c r="E233" s="31"/>
    </row>
    <row r="234" spans="2:5" ht="12.75" customHeight="1" x14ac:dyDescent="0.35">
      <c r="B234" s="31"/>
      <c r="D234" s="31"/>
      <c r="E234" s="31"/>
    </row>
    <row r="235" spans="2:5" ht="12.75" customHeight="1" x14ac:dyDescent="0.35">
      <c r="B235" s="31"/>
      <c r="D235" s="31"/>
      <c r="E235" s="31"/>
    </row>
    <row r="236" spans="2:5" ht="12.75" customHeight="1" x14ac:dyDescent="0.35">
      <c r="B236" s="31"/>
      <c r="D236" s="31"/>
      <c r="E236" s="31"/>
    </row>
    <row r="237" spans="2:5" ht="12.75" customHeight="1" x14ac:dyDescent="0.35">
      <c r="B237" s="31"/>
      <c r="D237" s="31"/>
      <c r="E237" s="31"/>
    </row>
    <row r="238" spans="2:5" ht="12.75" customHeight="1" x14ac:dyDescent="0.35">
      <c r="B238" s="31"/>
      <c r="D238" s="31"/>
      <c r="E238" s="31"/>
    </row>
    <row r="239" spans="2:5" ht="12.75" customHeight="1" x14ac:dyDescent="0.35">
      <c r="B239" s="31"/>
      <c r="D239" s="31"/>
      <c r="E239" s="31"/>
    </row>
    <row r="240" spans="2:5" ht="12.75" customHeight="1" x14ac:dyDescent="0.35">
      <c r="B240" s="31"/>
      <c r="D240" s="31"/>
      <c r="E240" s="31"/>
    </row>
    <row r="241" spans="2:5" ht="12.75" customHeight="1" x14ac:dyDescent="0.35">
      <c r="B241" s="31"/>
      <c r="D241" s="31"/>
      <c r="E241" s="31"/>
    </row>
    <row r="242" spans="2:5" ht="12.75" customHeight="1" x14ac:dyDescent="0.35">
      <c r="B242" s="31"/>
      <c r="D242" s="31"/>
      <c r="E242" s="31"/>
    </row>
    <row r="243" spans="2:5" ht="12.75" customHeight="1" x14ac:dyDescent="0.35">
      <c r="B243" s="31"/>
      <c r="D243" s="31"/>
      <c r="E243" s="31"/>
    </row>
    <row r="244" spans="2:5" ht="12.75" customHeight="1" x14ac:dyDescent="0.35">
      <c r="B244" s="31"/>
      <c r="D244" s="31"/>
      <c r="E244" s="31"/>
    </row>
    <row r="245" spans="2:5" ht="12.75" customHeight="1" x14ac:dyDescent="0.35">
      <c r="B245" s="31"/>
      <c r="D245" s="31"/>
      <c r="E245" s="31"/>
    </row>
    <row r="246" spans="2:5" ht="12.75" customHeight="1" x14ac:dyDescent="0.35">
      <c r="B246" s="31"/>
      <c r="D246" s="31"/>
      <c r="E246" s="31"/>
    </row>
    <row r="247" spans="2:5" ht="12.75" customHeight="1" x14ac:dyDescent="0.35">
      <c r="B247" s="31"/>
      <c r="D247" s="31"/>
      <c r="E247" s="31"/>
    </row>
    <row r="248" spans="2:5" ht="12.75" customHeight="1" x14ac:dyDescent="0.35">
      <c r="B248" s="31"/>
      <c r="D248" s="31"/>
      <c r="E248" s="31"/>
    </row>
    <row r="249" spans="2:5" ht="12.75" customHeight="1" x14ac:dyDescent="0.35">
      <c r="B249" s="31"/>
      <c r="D249" s="31"/>
      <c r="E249" s="31"/>
    </row>
    <row r="250" spans="2:5" ht="12.75" customHeight="1" x14ac:dyDescent="0.35">
      <c r="B250" s="31"/>
      <c r="D250" s="31"/>
      <c r="E250" s="31"/>
    </row>
    <row r="251" spans="2:5" ht="12.75" customHeight="1" x14ac:dyDescent="0.35">
      <c r="B251" s="31"/>
      <c r="D251" s="31"/>
      <c r="E251" s="31"/>
    </row>
    <row r="252" spans="2:5" ht="12.75" customHeight="1" x14ac:dyDescent="0.35">
      <c r="B252" s="31"/>
      <c r="D252" s="31"/>
      <c r="E252" s="31"/>
    </row>
    <row r="253" spans="2:5" ht="12.75" customHeight="1" x14ac:dyDescent="0.35">
      <c r="B253" s="31"/>
      <c r="D253" s="31"/>
      <c r="E253" s="31"/>
    </row>
    <row r="254" spans="2:5" ht="12.75" customHeight="1" x14ac:dyDescent="0.35">
      <c r="B254" s="31"/>
      <c r="D254" s="31"/>
      <c r="E254" s="31"/>
    </row>
    <row r="255" spans="2:5" ht="12.75" customHeight="1" x14ac:dyDescent="0.35">
      <c r="B255" s="31"/>
      <c r="D255" s="31"/>
      <c r="E255" s="31"/>
    </row>
    <row r="256" spans="2:5" ht="12.75" customHeight="1" x14ac:dyDescent="0.35">
      <c r="B256" s="31"/>
      <c r="D256" s="31"/>
      <c r="E256" s="31"/>
    </row>
    <row r="257" spans="2:5" ht="12.75" customHeight="1" x14ac:dyDescent="0.35">
      <c r="B257" s="31"/>
      <c r="D257" s="31"/>
      <c r="E257" s="31"/>
    </row>
    <row r="258" spans="2:5" ht="12.75" customHeight="1" x14ac:dyDescent="0.35">
      <c r="B258" s="31"/>
      <c r="D258" s="31"/>
      <c r="E258" s="31"/>
    </row>
    <row r="259" spans="2:5" ht="12.75" customHeight="1" x14ac:dyDescent="0.35">
      <c r="B259" s="31"/>
      <c r="D259" s="31"/>
      <c r="E259" s="31"/>
    </row>
    <row r="260" spans="2:5" ht="12.75" customHeight="1" x14ac:dyDescent="0.35">
      <c r="B260" s="31"/>
      <c r="D260" s="31"/>
      <c r="E260" s="31"/>
    </row>
    <row r="261" spans="2:5" ht="12.75" customHeight="1" x14ac:dyDescent="0.35">
      <c r="B261" s="31"/>
      <c r="D261" s="31"/>
      <c r="E261" s="31"/>
    </row>
    <row r="262" spans="2:5" ht="12.75" customHeight="1" x14ac:dyDescent="0.35">
      <c r="B262" s="31"/>
      <c r="D262" s="31"/>
      <c r="E262" s="31"/>
    </row>
    <row r="263" spans="2:5" ht="12.75" customHeight="1" x14ac:dyDescent="0.35">
      <c r="B263" s="31"/>
      <c r="D263" s="31"/>
      <c r="E263" s="31"/>
    </row>
    <row r="264" spans="2:5" ht="12.75" customHeight="1" x14ac:dyDescent="0.35">
      <c r="B264" s="31"/>
      <c r="D264" s="31"/>
      <c r="E264" s="31"/>
    </row>
    <row r="265" spans="2:5" ht="12.75" customHeight="1" x14ac:dyDescent="0.35">
      <c r="B265" s="31"/>
      <c r="D265" s="31"/>
      <c r="E265" s="31"/>
    </row>
    <row r="266" spans="2:5" ht="12.75" customHeight="1" x14ac:dyDescent="0.35">
      <c r="B266" s="31"/>
      <c r="D266" s="31"/>
      <c r="E266" s="31"/>
    </row>
    <row r="267" spans="2:5" ht="12.75" customHeight="1" x14ac:dyDescent="0.35">
      <c r="B267" s="31"/>
      <c r="D267" s="31"/>
      <c r="E267" s="31"/>
    </row>
    <row r="268" spans="2:5" ht="12.75" customHeight="1" x14ac:dyDescent="0.35">
      <c r="B268" s="31"/>
      <c r="D268" s="31"/>
      <c r="E268" s="31"/>
    </row>
    <row r="269" spans="2:5" ht="12.75" customHeight="1" x14ac:dyDescent="0.35">
      <c r="B269" s="31"/>
      <c r="D269" s="31"/>
      <c r="E269" s="31"/>
    </row>
    <row r="270" spans="2:5" ht="12.75" customHeight="1" x14ac:dyDescent="0.35">
      <c r="B270" s="31"/>
      <c r="D270" s="31"/>
      <c r="E270" s="31"/>
    </row>
    <row r="271" spans="2:5" ht="12.75" customHeight="1" x14ac:dyDescent="0.35">
      <c r="B271" s="31"/>
      <c r="D271" s="31"/>
      <c r="E271" s="31"/>
    </row>
    <row r="272" spans="2:5" ht="12.75" customHeight="1" x14ac:dyDescent="0.35">
      <c r="B272" s="31"/>
      <c r="D272" s="31"/>
      <c r="E272" s="31"/>
    </row>
    <row r="273" spans="2:5" ht="12.75" customHeight="1" x14ac:dyDescent="0.35">
      <c r="B273" s="31"/>
      <c r="D273" s="31"/>
      <c r="E273" s="31"/>
    </row>
    <row r="274" spans="2:5" ht="12.75" customHeight="1" x14ac:dyDescent="0.35">
      <c r="B274" s="31"/>
      <c r="D274" s="31"/>
      <c r="E274" s="31"/>
    </row>
    <row r="275" spans="2:5" ht="12.75" customHeight="1" x14ac:dyDescent="0.35">
      <c r="B275" s="31"/>
      <c r="D275" s="31"/>
      <c r="E275" s="31"/>
    </row>
    <row r="276" spans="2:5" ht="12.75" customHeight="1" x14ac:dyDescent="0.35">
      <c r="B276" s="31"/>
      <c r="D276" s="31"/>
      <c r="E276" s="31"/>
    </row>
    <row r="277" spans="2:5" ht="12.75" customHeight="1" x14ac:dyDescent="0.35">
      <c r="B277" s="31"/>
      <c r="D277" s="31"/>
      <c r="E277" s="31"/>
    </row>
    <row r="278" spans="2:5" ht="12.75" customHeight="1" x14ac:dyDescent="0.35">
      <c r="B278" s="31"/>
      <c r="D278" s="31"/>
      <c r="E278" s="31"/>
    </row>
    <row r="279" spans="2:5" ht="12.75" customHeight="1" x14ac:dyDescent="0.35">
      <c r="B279" s="31"/>
      <c r="D279" s="31"/>
      <c r="E279" s="31"/>
    </row>
    <row r="280" spans="2:5" ht="12.75" customHeight="1" x14ac:dyDescent="0.35">
      <c r="B280" s="31"/>
      <c r="D280" s="31"/>
      <c r="E280" s="31"/>
    </row>
    <row r="281" spans="2:5" ht="12.75" customHeight="1" x14ac:dyDescent="0.35">
      <c r="B281" s="31"/>
      <c r="D281" s="31"/>
      <c r="E281" s="31"/>
    </row>
    <row r="282" spans="2:5" ht="12.75" customHeight="1" x14ac:dyDescent="0.35">
      <c r="B282" s="31"/>
      <c r="D282" s="31"/>
      <c r="E282" s="31"/>
    </row>
    <row r="283" spans="2:5" ht="12.75" customHeight="1" x14ac:dyDescent="0.35">
      <c r="B283" s="31"/>
      <c r="D283" s="31"/>
      <c r="E283" s="31"/>
    </row>
    <row r="284" spans="2:5" ht="12.75" customHeight="1" x14ac:dyDescent="0.35">
      <c r="B284" s="31"/>
      <c r="D284" s="31"/>
      <c r="E284" s="31"/>
    </row>
    <row r="285" spans="2:5" ht="12.75" customHeight="1" x14ac:dyDescent="0.35">
      <c r="B285" s="31"/>
      <c r="D285" s="31"/>
      <c r="E285" s="31"/>
    </row>
    <row r="286" spans="2:5" ht="12.75" customHeight="1" x14ac:dyDescent="0.35">
      <c r="B286" s="31"/>
      <c r="D286" s="31"/>
      <c r="E286" s="31"/>
    </row>
    <row r="287" spans="2:5" ht="12.75" customHeight="1" x14ac:dyDescent="0.35">
      <c r="B287" s="31"/>
      <c r="D287" s="31"/>
      <c r="E287" s="31"/>
    </row>
    <row r="288" spans="2:5" ht="12.75" customHeight="1" x14ac:dyDescent="0.35">
      <c r="B288" s="31"/>
      <c r="D288" s="31"/>
      <c r="E288" s="31"/>
    </row>
    <row r="289" spans="2:5" ht="12.75" customHeight="1" x14ac:dyDescent="0.35">
      <c r="B289" s="31"/>
      <c r="D289" s="31"/>
      <c r="E289" s="31"/>
    </row>
    <row r="290" spans="2:5" ht="12.75" customHeight="1" x14ac:dyDescent="0.35">
      <c r="B290" s="31"/>
      <c r="D290" s="31"/>
      <c r="E290" s="31"/>
    </row>
    <row r="291" spans="2:5" ht="12.75" customHeight="1" x14ac:dyDescent="0.35">
      <c r="B291" s="31"/>
      <c r="D291" s="31"/>
      <c r="E291" s="31"/>
    </row>
    <row r="292" spans="2:5" ht="12.75" customHeight="1" x14ac:dyDescent="0.35">
      <c r="B292" s="31"/>
      <c r="D292" s="31"/>
      <c r="E292" s="31"/>
    </row>
    <row r="293" spans="2:5" ht="12.75" customHeight="1" x14ac:dyDescent="0.35">
      <c r="B293" s="31"/>
      <c r="D293" s="31"/>
      <c r="E293" s="31"/>
    </row>
    <row r="294" spans="2:5" ht="12.75" customHeight="1" x14ac:dyDescent="0.35">
      <c r="B294" s="31"/>
      <c r="D294" s="31"/>
      <c r="E294" s="31"/>
    </row>
    <row r="295" spans="2:5" ht="12.75" customHeight="1" x14ac:dyDescent="0.35">
      <c r="B295" s="31"/>
      <c r="D295" s="31"/>
      <c r="E295" s="31"/>
    </row>
    <row r="296" spans="2:5" ht="12.75" customHeight="1" x14ac:dyDescent="0.35">
      <c r="B296" s="31"/>
      <c r="D296" s="31"/>
      <c r="E296" s="31"/>
    </row>
    <row r="297" spans="2:5" ht="12.75" customHeight="1" x14ac:dyDescent="0.35">
      <c r="B297" s="31"/>
      <c r="D297" s="31"/>
      <c r="E297" s="31"/>
    </row>
    <row r="298" spans="2:5" ht="12.75" customHeight="1" x14ac:dyDescent="0.35">
      <c r="B298" s="31"/>
      <c r="D298" s="31"/>
      <c r="E298" s="31"/>
    </row>
    <row r="299" spans="2:5" ht="12.75" customHeight="1" x14ac:dyDescent="0.35">
      <c r="B299" s="31"/>
      <c r="D299" s="31"/>
      <c r="E299" s="31"/>
    </row>
    <row r="300" spans="2:5" ht="12.75" customHeight="1" x14ac:dyDescent="0.35">
      <c r="B300" s="31"/>
      <c r="D300" s="31"/>
      <c r="E300" s="31"/>
    </row>
    <row r="301" spans="2:5" ht="12.75" customHeight="1" x14ac:dyDescent="0.35">
      <c r="B301" s="31"/>
      <c r="D301" s="31"/>
      <c r="E301" s="31"/>
    </row>
    <row r="302" spans="2:5" ht="12.75" customHeight="1" x14ac:dyDescent="0.35">
      <c r="B302" s="31"/>
      <c r="D302" s="31"/>
      <c r="E302" s="31"/>
    </row>
    <row r="303" spans="2:5" ht="12.75" customHeight="1" x14ac:dyDescent="0.35">
      <c r="B303" s="31"/>
      <c r="D303" s="31"/>
      <c r="E303" s="31"/>
    </row>
  </sheetData>
  <sheetProtection algorithmName="SHA-512" hashValue="YRJWr4V0NIv7Cc9I5ccvXt+tU0/UhDMm5NA4q6TMhoFRmynmsUkDGdO77gKuEj2gOq8gEp29u5iWGjalz2Z2Ew==" saltValue="6z1xnRA1ep6mGQ2/fNhL3A==" spinCount="100000" sheet="1" objects="1" scenarios="1"/>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3B8F2-87A7-433C-87EA-76F5C90C8BE9}">
  <sheetPr codeName="Sheet15"/>
  <dimension ref="B1:W303"/>
  <sheetViews>
    <sheetView workbookViewId="0">
      <selection activeCell="B79" sqref="B79"/>
    </sheetView>
  </sheetViews>
  <sheetFormatPr defaultRowHeight="12.75" x14ac:dyDescent="0.35"/>
  <cols>
    <col min="2" max="2" width="43.86328125" bestFit="1" customWidth="1"/>
    <col min="3" max="3" width="12.265625" style="31" hidden="1" customWidth="1"/>
    <col min="4" max="4" width="13.06640625" hidden="1" customWidth="1"/>
    <col min="5" max="5" width="13.06640625" style="34" hidden="1" customWidth="1"/>
    <col min="6" max="6" width="13.06640625" style="69" hidden="1" customWidth="1"/>
    <col min="7" max="8" width="12" hidden="1" customWidth="1"/>
    <col min="9" max="11" width="9.796875" bestFit="1" customWidth="1"/>
    <col min="12" max="12" width="11.06640625" bestFit="1" customWidth="1"/>
    <col min="14" max="16" width="9.796875" bestFit="1" customWidth="1"/>
    <col min="17" max="17" width="11.06640625" bestFit="1" customWidth="1"/>
    <col min="19" max="21" width="9.796875" bestFit="1" customWidth="1"/>
    <col min="22" max="22" width="11.06640625" bestFit="1" customWidth="1"/>
    <col min="23" max="23" width="63.796875" customWidth="1"/>
  </cols>
  <sheetData>
    <row r="1" spans="2:23" ht="12.75" customHeight="1" x14ac:dyDescent="0.35">
      <c r="B1" s="145" t="s">
        <v>310</v>
      </c>
      <c r="C1" s="76"/>
      <c r="D1" s="52"/>
      <c r="E1" s="52"/>
      <c r="F1" s="68"/>
    </row>
    <row r="2" spans="2:23" ht="12.75" customHeight="1" x14ac:dyDescent="0.35">
      <c r="B2" s="52"/>
      <c r="C2" s="76"/>
      <c r="D2" s="52"/>
      <c r="E2" s="52"/>
      <c r="F2" s="68"/>
    </row>
    <row r="3" spans="2:23" ht="12.75" customHeight="1" x14ac:dyDescent="0.35">
      <c r="B3" s="52"/>
      <c r="C3" s="76"/>
      <c r="D3" s="52"/>
      <c r="E3" s="52"/>
      <c r="F3" s="68"/>
    </row>
    <row r="4" spans="2:23" ht="12.75" customHeight="1" x14ac:dyDescent="0.35">
      <c r="B4" s="52"/>
      <c r="C4" s="76"/>
      <c r="D4" s="52"/>
      <c r="E4" s="52"/>
      <c r="F4" s="68"/>
    </row>
    <row r="5" spans="2:23" ht="12.75" customHeight="1" x14ac:dyDescent="0.35">
      <c r="B5" s="52"/>
      <c r="C5" s="76"/>
      <c r="D5" s="52"/>
      <c r="E5" s="52"/>
      <c r="F5" s="68"/>
    </row>
    <row r="6" spans="2:23" ht="15.4" customHeight="1" thickBot="1" x14ac:dyDescent="0.4">
      <c r="B6" s="136"/>
      <c r="C6" s="76"/>
      <c r="D6" s="52"/>
      <c r="E6" s="52"/>
      <c r="F6" s="68"/>
    </row>
    <row r="7" spans="2:23" ht="12.75" customHeight="1" thickTop="1" x14ac:dyDescent="0.35">
      <c r="I7" s="202" t="s">
        <v>294</v>
      </c>
      <c r="J7" s="207"/>
      <c r="K7" s="188"/>
      <c r="L7" s="189"/>
      <c r="N7" s="202" t="s">
        <v>224</v>
      </c>
      <c r="O7" s="236" t="str">
        <f>B1</f>
        <v>Option J</v>
      </c>
      <c r="P7" s="188"/>
      <c r="Q7" s="189"/>
      <c r="S7" s="202" t="s">
        <v>295</v>
      </c>
      <c r="T7" s="207"/>
      <c r="U7" s="188"/>
      <c r="V7" s="189"/>
    </row>
    <row r="8" spans="2:23" ht="12.75" customHeight="1" x14ac:dyDescent="0.35">
      <c r="C8" s="77"/>
      <c r="F8" s="74" t="s">
        <v>140</v>
      </c>
      <c r="G8" s="120" t="s">
        <v>140</v>
      </c>
      <c r="I8" s="208"/>
      <c r="J8" s="209"/>
      <c r="K8" s="190" t="s">
        <v>140</v>
      </c>
      <c r="L8" s="191" t="s">
        <v>140</v>
      </c>
      <c r="N8" s="208"/>
      <c r="O8" s="209"/>
      <c r="P8" s="190" t="s">
        <v>140</v>
      </c>
      <c r="Q8" s="191" t="s">
        <v>140</v>
      </c>
      <c r="S8" s="208"/>
      <c r="T8" s="209"/>
      <c r="U8" s="190" t="s">
        <v>140</v>
      </c>
      <c r="V8" s="191" t="s">
        <v>140</v>
      </c>
    </row>
    <row r="9" spans="2:23" ht="12.75" customHeight="1" thickBot="1" x14ac:dyDescent="0.4">
      <c r="B9" s="4"/>
      <c r="C9" s="78"/>
      <c r="D9" s="47">
        <v>43983</v>
      </c>
      <c r="E9" s="46">
        <v>44348</v>
      </c>
      <c r="F9" s="70">
        <v>44713</v>
      </c>
      <c r="G9" s="130" t="s">
        <v>238</v>
      </c>
      <c r="I9" s="192">
        <v>43983</v>
      </c>
      <c r="J9" s="193">
        <v>44348</v>
      </c>
      <c r="K9" s="194">
        <v>44713</v>
      </c>
      <c r="L9" s="195" t="s">
        <v>238</v>
      </c>
      <c r="N9" s="192">
        <v>43983</v>
      </c>
      <c r="O9" s="193">
        <v>44348</v>
      </c>
      <c r="P9" s="194">
        <v>44713</v>
      </c>
      <c r="Q9" s="195" t="s">
        <v>238</v>
      </c>
      <c r="S9" s="192">
        <v>43983</v>
      </c>
      <c r="T9" s="193">
        <v>44348</v>
      </c>
      <c r="U9" s="194">
        <v>44713</v>
      </c>
      <c r="V9" s="195" t="s">
        <v>238</v>
      </c>
    </row>
    <row r="10" spans="2:23" ht="12.75" customHeight="1" thickTop="1" thickBot="1" x14ac:dyDescent="0.4">
      <c r="C10" s="79"/>
      <c r="D10" s="9" t="s">
        <v>223</v>
      </c>
      <c r="E10" s="44" t="s">
        <v>131</v>
      </c>
      <c r="F10" s="9" t="s">
        <v>131</v>
      </c>
      <c r="G10" s="9" t="s">
        <v>131</v>
      </c>
      <c r="I10" s="203" t="s">
        <v>223</v>
      </c>
      <c r="J10" s="204" t="s">
        <v>131</v>
      </c>
      <c r="K10" s="205" t="s">
        <v>131</v>
      </c>
      <c r="L10" s="206" t="s">
        <v>131</v>
      </c>
      <c r="N10" s="203" t="s">
        <v>223</v>
      </c>
      <c r="O10" s="204" t="s">
        <v>131</v>
      </c>
      <c r="P10" s="205" t="s">
        <v>131</v>
      </c>
      <c r="Q10" s="206" t="s">
        <v>131</v>
      </c>
      <c r="S10" s="203" t="s">
        <v>223</v>
      </c>
      <c r="T10" s="204" t="s">
        <v>131</v>
      </c>
      <c r="U10" s="205" t="s">
        <v>131</v>
      </c>
      <c r="V10" s="225" t="s">
        <v>131</v>
      </c>
      <c r="W10" s="233" t="s">
        <v>297</v>
      </c>
    </row>
    <row r="11" spans="2:23" ht="12.75" customHeight="1" thickTop="1" x14ac:dyDescent="0.35">
      <c r="B11" s="3" t="s">
        <v>3</v>
      </c>
      <c r="G11" s="129"/>
      <c r="I11" s="210"/>
      <c r="J11" s="211"/>
      <c r="K11" s="211"/>
      <c r="L11" s="212"/>
      <c r="N11" s="210"/>
      <c r="O11" s="211"/>
      <c r="P11" s="211"/>
      <c r="Q11" s="212"/>
      <c r="S11" s="210"/>
      <c r="T11" s="211"/>
      <c r="U11" s="211"/>
      <c r="V11" s="226"/>
      <c r="W11" s="234"/>
    </row>
    <row r="12" spans="2:23" ht="12.75" customHeight="1" x14ac:dyDescent="0.35">
      <c r="B12" s="3" t="s">
        <v>4</v>
      </c>
      <c r="C12" s="81"/>
      <c r="D12" s="103">
        <v>45700</v>
      </c>
      <c r="E12" s="103">
        <v>36700</v>
      </c>
      <c r="F12" s="103">
        <v>36700</v>
      </c>
      <c r="G12" s="103">
        <f>'BASE - Pre CV-19'!O19</f>
        <v>23700</v>
      </c>
      <c r="I12" s="196">
        <f>D12</f>
        <v>45700</v>
      </c>
      <c r="J12" s="197">
        <f t="shared" ref="J12:L12" si="0">E12</f>
        <v>36700</v>
      </c>
      <c r="K12" s="197">
        <f t="shared" si="0"/>
        <v>36700</v>
      </c>
      <c r="L12" s="198">
        <f t="shared" si="0"/>
        <v>23700</v>
      </c>
      <c r="M12" s="138"/>
      <c r="N12" s="196">
        <f>D13</f>
        <v>33984</v>
      </c>
      <c r="O12" s="197">
        <f t="shared" ref="O12:Q12" si="1">E13</f>
        <v>27500</v>
      </c>
      <c r="P12" s="197">
        <f t="shared" si="1"/>
        <v>27500</v>
      </c>
      <c r="Q12" s="198">
        <f t="shared" si="1"/>
        <v>23700</v>
      </c>
      <c r="R12" s="138"/>
      <c r="S12" s="196">
        <f>N12-I12</f>
        <v>-11716</v>
      </c>
      <c r="T12" s="197">
        <f t="shared" ref="T12:V12" si="2">O12-J12</f>
        <v>-9200</v>
      </c>
      <c r="U12" s="197">
        <f t="shared" si="2"/>
        <v>-9200</v>
      </c>
      <c r="V12" s="227">
        <f t="shared" si="2"/>
        <v>0</v>
      </c>
      <c r="W12" s="234" t="s">
        <v>298</v>
      </c>
    </row>
    <row r="13" spans="2:23" ht="12.75" customHeight="1" x14ac:dyDescent="0.35">
      <c r="C13" s="100" t="s">
        <v>224</v>
      </c>
      <c r="D13" s="104">
        <v>33984</v>
      </c>
      <c r="E13" s="105">
        <v>27500</v>
      </c>
      <c r="F13" s="104">
        <v>27500</v>
      </c>
      <c r="G13" s="104">
        <f>G12</f>
        <v>23700</v>
      </c>
      <c r="I13" s="213"/>
      <c r="J13" s="214"/>
      <c r="K13" s="214"/>
      <c r="L13" s="215"/>
      <c r="N13" s="213"/>
      <c r="O13" s="214"/>
      <c r="P13" s="214"/>
      <c r="Q13" s="215"/>
      <c r="S13" s="213"/>
      <c r="T13" s="214"/>
      <c r="U13" s="214"/>
      <c r="V13" s="228"/>
      <c r="W13" s="234"/>
    </row>
    <row r="14" spans="2:23" ht="12.75" customHeight="1" x14ac:dyDescent="0.35">
      <c r="B14" s="3" t="s">
        <v>10</v>
      </c>
      <c r="D14" s="106"/>
      <c r="E14" s="107"/>
      <c r="F14" s="108"/>
      <c r="I14" s="210"/>
      <c r="J14" s="211"/>
      <c r="K14" s="211"/>
      <c r="L14" s="211"/>
      <c r="N14" s="210"/>
      <c r="O14" s="211"/>
      <c r="P14" s="211"/>
      <c r="Q14" s="211"/>
      <c r="S14" s="210"/>
      <c r="T14" s="211"/>
      <c r="U14" s="211"/>
      <c r="V14" s="226"/>
      <c r="W14" s="234"/>
    </row>
    <row r="15" spans="2:23" ht="12.75" customHeight="1" x14ac:dyDescent="0.35">
      <c r="B15" s="3" t="s">
        <v>11</v>
      </c>
      <c r="D15" s="103">
        <v>181992.66750000001</v>
      </c>
      <c r="E15" s="103">
        <v>191092.30087500002</v>
      </c>
      <c r="F15" s="103">
        <v>200646.91591875005</v>
      </c>
      <c r="G15" s="103">
        <f>'BASE - Pre CV-19'!O31</f>
        <v>210679.26171468751</v>
      </c>
      <c r="I15" s="196">
        <f>D15</f>
        <v>181992.66750000001</v>
      </c>
      <c r="J15" s="197">
        <f t="shared" ref="J15:L15" si="3">E15</f>
        <v>191092.30087500002</v>
      </c>
      <c r="K15" s="197">
        <f t="shared" si="3"/>
        <v>200646.91591875005</v>
      </c>
      <c r="L15" s="198">
        <f t="shared" si="3"/>
        <v>210679.26171468751</v>
      </c>
      <c r="M15" s="138"/>
      <c r="N15" s="196">
        <f>D16</f>
        <v>192659</v>
      </c>
      <c r="O15" s="197">
        <f t="shared" ref="O15:Q15" si="4">E16</f>
        <v>181537.68583125001</v>
      </c>
      <c r="P15" s="197">
        <f t="shared" si="4"/>
        <v>190614.57012281253</v>
      </c>
      <c r="Q15" s="198">
        <f t="shared" si="4"/>
        <v>200145.29862895314</v>
      </c>
      <c r="R15" s="138"/>
      <c r="S15" s="196">
        <f>N15-I15</f>
        <v>10666.33249999999</v>
      </c>
      <c r="T15" s="197">
        <f t="shared" ref="T15:V15" si="5">O15-J15</f>
        <v>-9554.6150437500037</v>
      </c>
      <c r="U15" s="197">
        <f t="shared" si="5"/>
        <v>-10032.345795937523</v>
      </c>
      <c r="V15" s="227">
        <f t="shared" si="5"/>
        <v>-10533.963085734373</v>
      </c>
      <c r="W15" s="234"/>
    </row>
    <row r="16" spans="2:23" ht="12.75" customHeight="1" x14ac:dyDescent="0.35">
      <c r="C16" s="100" t="s">
        <v>224</v>
      </c>
      <c r="D16" s="105">
        <v>192659</v>
      </c>
      <c r="E16" s="105">
        <f>E15*0.95</f>
        <v>181537.68583125001</v>
      </c>
      <c r="F16" s="105">
        <f>F15*0.95</f>
        <v>190614.57012281253</v>
      </c>
      <c r="G16" s="105">
        <f>G15*0.95</f>
        <v>200145.29862895314</v>
      </c>
      <c r="I16" s="216"/>
      <c r="J16" s="217"/>
      <c r="K16" s="217"/>
      <c r="L16" s="218"/>
      <c r="M16" s="138"/>
      <c r="N16" s="216"/>
      <c r="O16" s="217"/>
      <c r="P16" s="217"/>
      <c r="Q16" s="218"/>
      <c r="R16" s="138"/>
      <c r="S16" s="216"/>
      <c r="T16" s="217"/>
      <c r="U16" s="217"/>
      <c r="V16" s="229"/>
      <c r="W16" s="234"/>
    </row>
    <row r="17" spans="2:23" ht="12.75" customHeight="1" x14ac:dyDescent="0.35">
      <c r="B17" s="3" t="s">
        <v>19</v>
      </c>
      <c r="C17" s="81"/>
      <c r="D17" s="103">
        <v>274023.0999545455</v>
      </c>
      <c r="E17" s="103">
        <v>287724.25495227281</v>
      </c>
      <c r="F17" s="103">
        <v>302110.46769988647</v>
      </c>
      <c r="G17" s="103">
        <f>'BASE - Pre CV-19'!O39</f>
        <v>290842.64897795231</v>
      </c>
      <c r="H17" s="133"/>
      <c r="I17" s="196">
        <f>D17</f>
        <v>274023.0999545455</v>
      </c>
      <c r="J17" s="197">
        <f t="shared" ref="J17:L17" si="6">E17</f>
        <v>287724.25495227281</v>
      </c>
      <c r="K17" s="197">
        <f t="shared" si="6"/>
        <v>302110.46769988647</v>
      </c>
      <c r="L17" s="198">
        <f t="shared" si="6"/>
        <v>290842.64897795231</v>
      </c>
      <c r="M17" s="138"/>
      <c r="N17" s="196">
        <f>D18</f>
        <v>258682</v>
      </c>
      <c r="O17" s="197">
        <f t="shared" ref="O17:Q17" si="7">E18</f>
        <v>143862.1274761364</v>
      </c>
      <c r="P17" s="197">
        <f t="shared" si="7"/>
        <v>151055.23384994324</v>
      </c>
      <c r="Q17" s="198">
        <f t="shared" si="7"/>
        <v>145421.32448897616</v>
      </c>
      <c r="R17" s="138"/>
      <c r="S17" s="196">
        <f>N17-I17</f>
        <v>-15341.099954545498</v>
      </c>
      <c r="T17" s="197">
        <f t="shared" ref="T17:V17" si="8">O17-J17</f>
        <v>-143862.1274761364</v>
      </c>
      <c r="U17" s="197">
        <f t="shared" si="8"/>
        <v>-151055.23384994324</v>
      </c>
      <c r="V17" s="227">
        <f t="shared" si="8"/>
        <v>-145421.32448897616</v>
      </c>
      <c r="W17" s="234"/>
    </row>
    <row r="18" spans="2:23" ht="12.75" customHeight="1" x14ac:dyDescent="0.35">
      <c r="C18" s="100" t="s">
        <v>224</v>
      </c>
      <c r="D18" s="104">
        <v>258682</v>
      </c>
      <c r="E18" s="105">
        <f>E17*0.5</f>
        <v>143862.1274761364</v>
      </c>
      <c r="F18" s="105">
        <f t="shared" ref="F18:G18" si="9">F17*0.5</f>
        <v>151055.23384994324</v>
      </c>
      <c r="G18" s="105">
        <f t="shared" si="9"/>
        <v>145421.32448897616</v>
      </c>
      <c r="I18" s="213"/>
      <c r="J18" s="214"/>
      <c r="K18" s="214"/>
      <c r="L18" s="215"/>
      <c r="N18" s="213"/>
      <c r="O18" s="214"/>
      <c r="P18" s="214"/>
      <c r="Q18" s="215"/>
      <c r="S18" s="213"/>
      <c r="T18" s="214"/>
      <c r="U18" s="214"/>
      <c r="V18" s="228"/>
      <c r="W18" s="234"/>
    </row>
    <row r="19" spans="2:23" ht="12.75" customHeight="1" thickBot="1" x14ac:dyDescent="0.4">
      <c r="B19" s="6" t="s">
        <v>27</v>
      </c>
      <c r="C19" s="82"/>
      <c r="D19" s="103">
        <f>D17+D15</f>
        <v>456015.76745454548</v>
      </c>
      <c r="E19" s="103">
        <f>E17+E15</f>
        <v>478816.55582727282</v>
      </c>
      <c r="F19" s="103">
        <f>F17+F15</f>
        <v>502757.38361863652</v>
      </c>
      <c r="G19" s="103">
        <f>G17+G15</f>
        <v>501521.91069263982</v>
      </c>
      <c r="I19" s="196">
        <f>D19</f>
        <v>456015.76745454548</v>
      </c>
      <c r="J19" s="197">
        <f t="shared" ref="J19:L19" si="10">E19</f>
        <v>478816.55582727282</v>
      </c>
      <c r="K19" s="197">
        <f t="shared" si="10"/>
        <v>502757.38361863652</v>
      </c>
      <c r="L19" s="198">
        <f t="shared" si="10"/>
        <v>501521.91069263982</v>
      </c>
      <c r="M19" s="138"/>
      <c r="N19" s="196">
        <f>D20</f>
        <v>451341</v>
      </c>
      <c r="O19" s="197">
        <f t="shared" ref="O19:Q19" si="11">E20</f>
        <v>325399.81330738642</v>
      </c>
      <c r="P19" s="197">
        <f t="shared" si="11"/>
        <v>341669.80397275579</v>
      </c>
      <c r="Q19" s="198">
        <f t="shared" si="11"/>
        <v>345566.62311792932</v>
      </c>
      <c r="R19" s="138"/>
      <c r="S19" s="196">
        <f>N19-I19</f>
        <v>-4674.7674545454793</v>
      </c>
      <c r="T19" s="197">
        <f t="shared" ref="T19:V19" si="12">O19-J19</f>
        <v>-153416.74251988641</v>
      </c>
      <c r="U19" s="197">
        <f t="shared" si="12"/>
        <v>-161087.57964588073</v>
      </c>
      <c r="V19" s="227">
        <f t="shared" si="12"/>
        <v>-155955.2875747105</v>
      </c>
      <c r="W19" s="234"/>
    </row>
    <row r="20" spans="2:23" ht="12.75" customHeight="1" thickTop="1" x14ac:dyDescent="0.35">
      <c r="C20" s="100" t="s">
        <v>224</v>
      </c>
      <c r="D20" s="105">
        <f>D18+D16</f>
        <v>451341</v>
      </c>
      <c r="E20" s="105">
        <f>E18+E16</f>
        <v>325399.81330738642</v>
      </c>
      <c r="F20" s="105">
        <f>F18+F16</f>
        <v>341669.80397275579</v>
      </c>
      <c r="G20" s="105">
        <f>G18+G16</f>
        <v>345566.62311792932</v>
      </c>
      <c r="I20" s="216"/>
      <c r="J20" s="217"/>
      <c r="K20" s="217"/>
      <c r="L20" s="218"/>
      <c r="M20" s="138"/>
      <c r="N20" s="216"/>
      <c r="O20" s="217"/>
      <c r="P20" s="217"/>
      <c r="Q20" s="218"/>
      <c r="R20" s="138"/>
      <c r="S20" s="216"/>
      <c r="T20" s="217"/>
      <c r="U20" s="217"/>
      <c r="V20" s="229"/>
      <c r="W20" s="234"/>
    </row>
    <row r="21" spans="2:23" ht="12.75" hidden="1" customHeight="1" x14ac:dyDescent="0.35">
      <c r="B21" s="1" t="s">
        <v>34</v>
      </c>
      <c r="C21" s="80"/>
      <c r="D21" s="101"/>
      <c r="E21" s="109"/>
      <c r="F21" s="101"/>
      <c r="I21" s="196"/>
      <c r="J21" s="197"/>
      <c r="K21" s="197"/>
      <c r="L21" s="198"/>
      <c r="M21" s="138"/>
      <c r="N21" s="196"/>
      <c r="O21" s="197"/>
      <c r="P21" s="197"/>
      <c r="Q21" s="198"/>
      <c r="R21" s="138"/>
      <c r="S21" s="196"/>
      <c r="T21" s="197"/>
      <c r="U21" s="197"/>
      <c r="V21" s="227"/>
      <c r="W21" s="234"/>
    </row>
    <row r="22" spans="2:23" ht="12.75" customHeight="1" x14ac:dyDescent="0.35">
      <c r="B22" s="3" t="s">
        <v>28</v>
      </c>
      <c r="C22" s="83"/>
      <c r="D22" s="103">
        <v>105480</v>
      </c>
      <c r="E22" s="103">
        <v>110754</v>
      </c>
      <c r="F22" s="103">
        <v>110754</v>
      </c>
      <c r="G22" s="103">
        <f>'BASE - Pre CV-19'!O50</f>
        <v>116291.7</v>
      </c>
      <c r="I22" s="196">
        <f>D22</f>
        <v>105480</v>
      </c>
      <c r="J22" s="197">
        <f t="shared" ref="J22:L22" si="13">E22</f>
        <v>110754</v>
      </c>
      <c r="K22" s="197">
        <f t="shared" si="13"/>
        <v>110754</v>
      </c>
      <c r="L22" s="198">
        <f t="shared" si="13"/>
        <v>116291.7</v>
      </c>
      <c r="M22" s="138"/>
      <c r="N22" s="196">
        <f>D23</f>
        <v>112410</v>
      </c>
      <c r="O22" s="197">
        <f t="shared" ref="O22:Q22" si="14">E23</f>
        <v>105216.29999999999</v>
      </c>
      <c r="P22" s="197">
        <f t="shared" si="14"/>
        <v>105216.29999999999</v>
      </c>
      <c r="Q22" s="198">
        <f t="shared" si="14"/>
        <v>110477.11499999999</v>
      </c>
      <c r="R22" s="138"/>
      <c r="S22" s="196">
        <f>N22-I22</f>
        <v>6930</v>
      </c>
      <c r="T22" s="197">
        <f t="shared" ref="T22:V22" si="15">O22-J22</f>
        <v>-5537.7000000000116</v>
      </c>
      <c r="U22" s="197">
        <f t="shared" si="15"/>
        <v>-5537.7000000000116</v>
      </c>
      <c r="V22" s="227">
        <f t="shared" si="15"/>
        <v>-5814.5850000000064</v>
      </c>
      <c r="W22" s="234"/>
    </row>
    <row r="23" spans="2:23" ht="12.75" customHeight="1" x14ac:dyDescent="0.35">
      <c r="C23" s="100" t="s">
        <v>224</v>
      </c>
      <c r="D23" s="105">
        <v>112410</v>
      </c>
      <c r="E23" s="105">
        <f>E22*0.95</f>
        <v>105216.29999999999</v>
      </c>
      <c r="F23" s="105">
        <f t="shared" ref="F23:G23" si="16">F22*0.95</f>
        <v>105216.29999999999</v>
      </c>
      <c r="G23" s="105">
        <f t="shared" si="16"/>
        <v>110477.11499999999</v>
      </c>
      <c r="I23" s="216"/>
      <c r="J23" s="217"/>
      <c r="K23" s="217"/>
      <c r="L23" s="218"/>
      <c r="M23" s="138"/>
      <c r="N23" s="216"/>
      <c r="O23" s="217"/>
      <c r="P23" s="217"/>
      <c r="Q23" s="218"/>
      <c r="R23" s="138"/>
      <c r="S23" s="216"/>
      <c r="T23" s="217"/>
      <c r="U23" s="217"/>
      <c r="V23" s="229"/>
      <c r="W23" s="234"/>
    </row>
    <row r="24" spans="2:23" ht="12.75" customHeight="1" thickBot="1" x14ac:dyDescent="0.4">
      <c r="B24" s="6" t="s">
        <v>36</v>
      </c>
      <c r="C24" s="85"/>
      <c r="D24" s="103">
        <f>D22+D19</f>
        <v>561495.76745454548</v>
      </c>
      <c r="E24" s="103">
        <f>E22+E19</f>
        <v>589570.55582727282</v>
      </c>
      <c r="F24" s="103">
        <f>F22+F19</f>
        <v>613511.38361863652</v>
      </c>
      <c r="G24" s="103">
        <f>G22+G19</f>
        <v>617813.61069263984</v>
      </c>
      <c r="I24" s="196">
        <f>D24</f>
        <v>561495.76745454548</v>
      </c>
      <c r="J24" s="197">
        <f t="shared" ref="J24:L24" si="17">E24</f>
        <v>589570.55582727282</v>
      </c>
      <c r="K24" s="197">
        <f t="shared" si="17"/>
        <v>613511.38361863652</v>
      </c>
      <c r="L24" s="198">
        <f t="shared" si="17"/>
        <v>617813.61069263984</v>
      </c>
      <c r="M24" s="138"/>
      <c r="N24" s="196">
        <f>D25</f>
        <v>563751</v>
      </c>
      <c r="O24" s="197">
        <f t="shared" ref="O24:Q24" si="18">E25</f>
        <v>430616.1133073864</v>
      </c>
      <c r="P24" s="197">
        <f t="shared" si="18"/>
        <v>446886.10397275578</v>
      </c>
      <c r="Q24" s="198">
        <f t="shared" si="18"/>
        <v>456043.73811792932</v>
      </c>
      <c r="R24" s="138"/>
      <c r="S24" s="196">
        <f>N24-I24</f>
        <v>2255.2325454545207</v>
      </c>
      <c r="T24" s="197">
        <f t="shared" ref="T24:V24" si="19">O24-J24</f>
        <v>-158954.44251988642</v>
      </c>
      <c r="U24" s="197">
        <f t="shared" si="19"/>
        <v>-166625.27964588074</v>
      </c>
      <c r="V24" s="227">
        <f t="shared" si="19"/>
        <v>-161769.87257471052</v>
      </c>
      <c r="W24" s="234" t="s">
        <v>335</v>
      </c>
    </row>
    <row r="25" spans="2:23" ht="12.75" customHeight="1" thickTop="1" x14ac:dyDescent="0.35">
      <c r="C25" s="100" t="s">
        <v>224</v>
      </c>
      <c r="D25" s="105">
        <f>D23+D20</f>
        <v>563751</v>
      </c>
      <c r="E25" s="105">
        <f>E23+E20</f>
        <v>430616.1133073864</v>
      </c>
      <c r="F25" s="105">
        <f>F23+F20</f>
        <v>446886.10397275578</v>
      </c>
      <c r="G25" s="105">
        <f>G23+G20</f>
        <v>456043.73811792932</v>
      </c>
      <c r="I25" s="216"/>
      <c r="J25" s="217"/>
      <c r="K25" s="217"/>
      <c r="L25" s="218"/>
      <c r="M25" s="138"/>
      <c r="N25" s="216"/>
      <c r="O25" s="217"/>
      <c r="P25" s="217"/>
      <c r="Q25" s="218"/>
      <c r="R25" s="138"/>
      <c r="S25" s="216"/>
      <c r="T25" s="217"/>
      <c r="U25" s="217"/>
      <c r="V25" s="229"/>
      <c r="W25" s="234"/>
    </row>
    <row r="26" spans="2:23" ht="12.75" customHeight="1" x14ac:dyDescent="0.35">
      <c r="B26" s="3" t="s">
        <v>37</v>
      </c>
      <c r="D26" s="106"/>
      <c r="E26" s="107"/>
      <c r="F26" s="108"/>
      <c r="I26" s="222"/>
      <c r="J26" s="223"/>
      <c r="K26" s="223"/>
      <c r="L26" s="224"/>
      <c r="M26" s="138"/>
      <c r="N26" s="222"/>
      <c r="O26" s="223"/>
      <c r="P26" s="223"/>
      <c r="Q26" s="224"/>
      <c r="R26" s="138"/>
      <c r="S26" s="222"/>
      <c r="T26" s="223"/>
      <c r="U26" s="223"/>
      <c r="V26" s="231"/>
      <c r="W26" s="234"/>
    </row>
    <row r="27" spans="2:23" ht="12.75" customHeight="1" x14ac:dyDescent="0.35">
      <c r="B27" s="1" t="s">
        <v>38</v>
      </c>
      <c r="C27" s="80"/>
      <c r="D27" s="101">
        <v>6300</v>
      </c>
      <c r="E27" s="109">
        <v>7000</v>
      </c>
      <c r="F27" s="101">
        <v>7500</v>
      </c>
      <c r="G27" s="32"/>
      <c r="I27" s="219"/>
      <c r="J27" s="220"/>
      <c r="K27" s="220"/>
      <c r="L27" s="221"/>
      <c r="M27" s="138"/>
      <c r="N27" s="219"/>
      <c r="O27" s="220"/>
      <c r="P27" s="220"/>
      <c r="Q27" s="221"/>
      <c r="R27" s="138"/>
      <c r="S27" s="219"/>
      <c r="T27" s="220"/>
      <c r="U27" s="220"/>
      <c r="V27" s="230"/>
      <c r="W27" s="234"/>
    </row>
    <row r="28" spans="2:23" ht="12.75" customHeight="1" x14ac:dyDescent="0.35">
      <c r="B28" s="5" t="s">
        <v>41</v>
      </c>
      <c r="C28" s="83"/>
      <c r="D28" s="103">
        <v>6300</v>
      </c>
      <c r="E28" s="103">
        <v>7000</v>
      </c>
      <c r="F28" s="103">
        <v>7500</v>
      </c>
      <c r="G28" s="103">
        <f>'BASE - Pre CV-19'!O58</f>
        <v>7650</v>
      </c>
      <c r="I28" s="196">
        <f>D28</f>
        <v>6300</v>
      </c>
      <c r="J28" s="197">
        <f t="shared" ref="J28:L28" si="20">E28</f>
        <v>7000</v>
      </c>
      <c r="K28" s="197">
        <f t="shared" si="20"/>
        <v>7500</v>
      </c>
      <c r="L28" s="198">
        <f t="shared" si="20"/>
        <v>7650</v>
      </c>
      <c r="M28" s="138"/>
      <c r="N28" s="196">
        <f>D29</f>
        <v>10856</v>
      </c>
      <c r="O28" s="197">
        <f t="shared" ref="O28:Q28" si="21">E29</f>
        <v>7000</v>
      </c>
      <c r="P28" s="197">
        <f t="shared" si="21"/>
        <v>7500</v>
      </c>
      <c r="Q28" s="198">
        <f t="shared" si="21"/>
        <v>7650</v>
      </c>
      <c r="R28" s="138"/>
      <c r="S28" s="196">
        <f>N28-I28</f>
        <v>4556</v>
      </c>
      <c r="T28" s="197">
        <f t="shared" ref="T28:V28" si="22">O28-J28</f>
        <v>0</v>
      </c>
      <c r="U28" s="197">
        <f t="shared" si="22"/>
        <v>0</v>
      </c>
      <c r="V28" s="227">
        <f t="shared" si="22"/>
        <v>0</v>
      </c>
      <c r="W28" s="234"/>
    </row>
    <row r="29" spans="2:23" ht="12.75" customHeight="1" x14ac:dyDescent="0.35">
      <c r="C29" s="100" t="s">
        <v>224</v>
      </c>
      <c r="D29" s="105">
        <v>10856</v>
      </c>
      <c r="E29" s="105">
        <v>7000</v>
      </c>
      <c r="F29" s="105">
        <v>7500</v>
      </c>
      <c r="G29" s="105">
        <f>G28</f>
        <v>7650</v>
      </c>
      <c r="I29" s="216"/>
      <c r="J29" s="217"/>
      <c r="K29" s="217"/>
      <c r="L29" s="218"/>
      <c r="M29" s="138"/>
      <c r="N29" s="216"/>
      <c r="O29" s="217"/>
      <c r="P29" s="217"/>
      <c r="Q29" s="218"/>
      <c r="R29" s="138"/>
      <c r="S29" s="216"/>
      <c r="T29" s="217"/>
      <c r="U29" s="217"/>
      <c r="V29" s="229"/>
      <c r="W29" s="234"/>
    </row>
    <row r="30" spans="2:23" ht="12.75" customHeight="1" x14ac:dyDescent="0.35">
      <c r="B30" s="3" t="s">
        <v>42</v>
      </c>
      <c r="C30" s="84"/>
      <c r="D30" s="106"/>
      <c r="E30" s="107"/>
      <c r="F30" s="108"/>
      <c r="I30" s="222"/>
      <c r="J30" s="223"/>
      <c r="K30" s="223"/>
      <c r="L30" s="224"/>
      <c r="M30" s="138"/>
      <c r="N30" s="222"/>
      <c r="O30" s="223"/>
      <c r="P30" s="223"/>
      <c r="Q30" s="224"/>
      <c r="R30" s="138"/>
      <c r="S30" s="222"/>
      <c r="T30" s="223"/>
      <c r="U30" s="223"/>
      <c r="V30" s="231"/>
      <c r="W30" s="234"/>
    </row>
    <row r="31" spans="2:23" ht="12.75" customHeight="1" x14ac:dyDescent="0.35">
      <c r="B31" s="1" t="s">
        <v>44</v>
      </c>
      <c r="C31" s="83"/>
      <c r="D31" s="103">
        <v>34000</v>
      </c>
      <c r="E31" s="103">
        <v>35000</v>
      </c>
      <c r="F31" s="103">
        <v>36000</v>
      </c>
      <c r="G31" s="103">
        <f>'BASE - Pre CV-19'!O64</f>
        <v>38000</v>
      </c>
      <c r="I31" s="196">
        <f>D31</f>
        <v>34000</v>
      </c>
      <c r="J31" s="197">
        <f t="shared" ref="J31:L31" si="23">E31</f>
        <v>35000</v>
      </c>
      <c r="K31" s="197">
        <f t="shared" si="23"/>
        <v>36000</v>
      </c>
      <c r="L31" s="198">
        <f t="shared" si="23"/>
        <v>38000</v>
      </c>
      <c r="M31" s="138"/>
      <c r="N31" s="196">
        <f>D32</f>
        <v>0</v>
      </c>
      <c r="O31" s="197">
        <f t="shared" ref="O31:Q31" si="24">E32</f>
        <v>35000</v>
      </c>
      <c r="P31" s="197">
        <f t="shared" si="24"/>
        <v>36000</v>
      </c>
      <c r="Q31" s="198">
        <f t="shared" si="24"/>
        <v>38000</v>
      </c>
      <c r="R31" s="138"/>
      <c r="S31" s="196">
        <f>N31-I31</f>
        <v>-34000</v>
      </c>
      <c r="T31" s="197">
        <f t="shared" ref="T31:V31" si="25">O31-J31</f>
        <v>0</v>
      </c>
      <c r="U31" s="197">
        <f t="shared" si="25"/>
        <v>0</v>
      </c>
      <c r="V31" s="227">
        <f t="shared" si="25"/>
        <v>0</v>
      </c>
      <c r="W31" s="234"/>
    </row>
    <row r="32" spans="2:23" ht="12.75" customHeight="1" x14ac:dyDescent="0.35">
      <c r="B32" s="290"/>
      <c r="C32" s="100" t="s">
        <v>224</v>
      </c>
      <c r="D32" s="113">
        <v>0</v>
      </c>
      <c r="E32" s="113">
        <v>35000</v>
      </c>
      <c r="F32" s="113">
        <v>36000</v>
      </c>
      <c r="G32" s="105">
        <f>G31</f>
        <v>38000</v>
      </c>
      <c r="I32" s="216"/>
      <c r="J32" s="217"/>
      <c r="K32" s="217"/>
      <c r="L32" s="218"/>
      <c r="M32" s="138"/>
      <c r="N32" s="216"/>
      <c r="O32" s="217"/>
      <c r="P32" s="217"/>
      <c r="Q32" s="218"/>
      <c r="R32" s="138"/>
      <c r="S32" s="216"/>
      <c r="T32" s="217"/>
      <c r="U32" s="217"/>
      <c r="V32" s="229"/>
      <c r="W32" s="234"/>
    </row>
    <row r="33" spans="2:23" ht="12.75" customHeight="1" x14ac:dyDescent="0.35">
      <c r="B33" s="1" t="s">
        <v>47</v>
      </c>
      <c r="C33" s="83"/>
      <c r="D33" s="103">
        <v>97416.709999999992</v>
      </c>
      <c r="E33" s="103">
        <v>0</v>
      </c>
      <c r="F33" s="103">
        <v>103000</v>
      </c>
      <c r="G33" s="103">
        <f>'BASE - Pre CV-19'!O69</f>
        <v>0</v>
      </c>
      <c r="I33" s="196">
        <f>D33</f>
        <v>97416.709999999992</v>
      </c>
      <c r="J33" s="197">
        <f t="shared" ref="J33:L33" si="26">E33</f>
        <v>0</v>
      </c>
      <c r="K33" s="197">
        <f t="shared" si="26"/>
        <v>103000</v>
      </c>
      <c r="L33" s="198">
        <f t="shared" si="26"/>
        <v>0</v>
      </c>
      <c r="M33" s="138"/>
      <c r="N33" s="196">
        <f>D34</f>
        <v>68880</v>
      </c>
      <c r="O33" s="197">
        <f t="shared" ref="O33:Q33" si="27">E34</f>
        <v>0</v>
      </c>
      <c r="P33" s="197">
        <f t="shared" si="27"/>
        <v>0</v>
      </c>
      <c r="Q33" s="198">
        <f t="shared" si="27"/>
        <v>0</v>
      </c>
      <c r="R33" s="138"/>
      <c r="S33" s="196">
        <f>N33-I33</f>
        <v>-28536.709999999992</v>
      </c>
      <c r="T33" s="197">
        <f t="shared" ref="T33:V33" si="28">O33-J33</f>
        <v>0</v>
      </c>
      <c r="U33" s="197">
        <f t="shared" si="28"/>
        <v>-103000</v>
      </c>
      <c r="V33" s="227">
        <f t="shared" si="28"/>
        <v>0</v>
      </c>
      <c r="W33" s="234"/>
    </row>
    <row r="34" spans="2:23" ht="12.75" customHeight="1" x14ac:dyDescent="0.35">
      <c r="B34" s="290"/>
      <c r="C34" s="100" t="s">
        <v>224</v>
      </c>
      <c r="D34" s="113">
        <v>68880</v>
      </c>
      <c r="E34" s="113"/>
      <c r="F34" s="113">
        <v>0</v>
      </c>
      <c r="G34" s="105">
        <f>G33</f>
        <v>0</v>
      </c>
      <c r="I34" s="216"/>
      <c r="J34" s="217"/>
      <c r="K34" s="217"/>
      <c r="L34" s="218"/>
      <c r="M34" s="138"/>
      <c r="N34" s="216"/>
      <c r="O34" s="217"/>
      <c r="P34" s="217"/>
      <c r="Q34" s="218"/>
      <c r="R34" s="138"/>
      <c r="S34" s="216"/>
      <c r="T34" s="217"/>
      <c r="U34" s="217"/>
      <c r="V34" s="229"/>
      <c r="W34" s="234"/>
    </row>
    <row r="35" spans="2:23" ht="12.75" customHeight="1" x14ac:dyDescent="0.35">
      <c r="B35" s="1" t="s">
        <v>51</v>
      </c>
      <c r="C35" s="83"/>
      <c r="D35" s="103">
        <v>0</v>
      </c>
      <c r="E35" s="103">
        <v>127810.85</v>
      </c>
      <c r="F35" s="103"/>
      <c r="G35" s="103">
        <f>'BASE - Pre CV-19'!O74</f>
        <v>133576.39250000002</v>
      </c>
      <c r="I35" s="196">
        <f>D35</f>
        <v>0</v>
      </c>
      <c r="J35" s="197">
        <f t="shared" ref="J35:L35" si="29">E35</f>
        <v>127810.85</v>
      </c>
      <c r="K35" s="197">
        <f t="shared" si="29"/>
        <v>0</v>
      </c>
      <c r="L35" s="198">
        <f t="shared" si="29"/>
        <v>133576.39250000002</v>
      </c>
      <c r="M35" s="138"/>
      <c r="N35" s="196">
        <f>D36</f>
        <v>0</v>
      </c>
      <c r="O35" s="197">
        <f t="shared" ref="O35:Q35" si="30">E36</f>
        <v>0</v>
      </c>
      <c r="P35" s="197">
        <f t="shared" si="30"/>
        <v>127811</v>
      </c>
      <c r="Q35" s="198">
        <f t="shared" si="30"/>
        <v>133576.39250000002</v>
      </c>
      <c r="R35" s="138"/>
      <c r="S35" s="196">
        <f>N35-I35</f>
        <v>0</v>
      </c>
      <c r="T35" s="197">
        <f t="shared" ref="T35:V35" si="31">O35-J35</f>
        <v>-127810.85</v>
      </c>
      <c r="U35" s="197">
        <f t="shared" si="31"/>
        <v>127811</v>
      </c>
      <c r="V35" s="227">
        <f t="shared" si="31"/>
        <v>0</v>
      </c>
      <c r="W35" s="234"/>
    </row>
    <row r="36" spans="2:23" ht="12.75" customHeight="1" x14ac:dyDescent="0.35">
      <c r="B36" s="290"/>
      <c r="C36" s="100" t="s">
        <v>224</v>
      </c>
      <c r="D36" s="113">
        <v>0</v>
      </c>
      <c r="E36" s="113">
        <v>0</v>
      </c>
      <c r="F36" s="113">
        <v>127811</v>
      </c>
      <c r="G36" s="105">
        <f>G35</f>
        <v>133576.39250000002</v>
      </c>
      <c r="I36" s="216"/>
      <c r="J36" s="217"/>
      <c r="K36" s="217"/>
      <c r="L36" s="218"/>
      <c r="M36" s="138"/>
      <c r="N36" s="216"/>
      <c r="O36" s="217"/>
      <c r="P36" s="217"/>
      <c r="Q36" s="218"/>
      <c r="R36" s="138"/>
      <c r="S36" s="216"/>
      <c r="T36" s="217"/>
      <c r="U36" s="217"/>
      <c r="V36" s="229"/>
      <c r="W36" s="234"/>
    </row>
    <row r="37" spans="2:23" ht="12.75" customHeight="1" x14ac:dyDescent="0.35">
      <c r="B37" s="1" t="s">
        <v>55</v>
      </c>
      <c r="C37" s="83"/>
      <c r="D37" s="103">
        <v>0</v>
      </c>
      <c r="E37" s="103">
        <v>201960</v>
      </c>
      <c r="F37" s="103">
        <v>0</v>
      </c>
      <c r="G37" s="103">
        <f>'BASE - Pre CV-19'!O79</f>
        <v>208508.40000000002</v>
      </c>
      <c r="I37" s="196">
        <f>D37</f>
        <v>0</v>
      </c>
      <c r="J37" s="197">
        <f t="shared" ref="J37:L37" si="32">E37</f>
        <v>201960</v>
      </c>
      <c r="K37" s="197">
        <f t="shared" si="32"/>
        <v>0</v>
      </c>
      <c r="L37" s="198">
        <f t="shared" si="32"/>
        <v>208508.40000000002</v>
      </c>
      <c r="M37" s="138"/>
      <c r="N37" s="196">
        <f>D38</f>
        <v>0</v>
      </c>
      <c r="O37" s="197">
        <f t="shared" ref="O37:Q37" si="33">E38</f>
        <v>0</v>
      </c>
      <c r="P37" s="197">
        <f t="shared" si="33"/>
        <v>0</v>
      </c>
      <c r="Q37" s="198">
        <f t="shared" si="33"/>
        <v>208508.40000000002</v>
      </c>
      <c r="R37" s="138"/>
      <c r="S37" s="196">
        <f>N37-I37</f>
        <v>0</v>
      </c>
      <c r="T37" s="197">
        <f t="shared" ref="T37:V37" si="34">O37-J37</f>
        <v>-201960</v>
      </c>
      <c r="U37" s="197">
        <f t="shared" si="34"/>
        <v>0</v>
      </c>
      <c r="V37" s="227">
        <f t="shared" si="34"/>
        <v>0</v>
      </c>
      <c r="W37" s="234"/>
    </row>
    <row r="38" spans="2:23" ht="12.75" customHeight="1" x14ac:dyDescent="0.35">
      <c r="B38" s="290"/>
      <c r="C38" s="100" t="s">
        <v>224</v>
      </c>
      <c r="D38" s="113"/>
      <c r="E38" s="113">
        <v>0</v>
      </c>
      <c r="F38" s="113"/>
      <c r="G38" s="105">
        <f>G37</f>
        <v>208508.40000000002</v>
      </c>
      <c r="I38" s="216"/>
      <c r="J38" s="217"/>
      <c r="K38" s="217"/>
      <c r="L38" s="218"/>
      <c r="M38" s="138"/>
      <c r="N38" s="216"/>
      <c r="O38" s="217"/>
      <c r="P38" s="217"/>
      <c r="Q38" s="218"/>
      <c r="R38" s="138"/>
      <c r="S38" s="216"/>
      <c r="T38" s="217"/>
      <c r="U38" s="217"/>
      <c r="V38" s="229"/>
      <c r="W38" s="234"/>
    </row>
    <row r="39" spans="2:23" ht="12.75" customHeight="1" x14ac:dyDescent="0.35">
      <c r="B39" s="1" t="s">
        <v>59</v>
      </c>
      <c r="C39" s="83"/>
      <c r="D39" s="103">
        <v>135000</v>
      </c>
      <c r="E39" s="103">
        <v>0</v>
      </c>
      <c r="F39" s="103">
        <v>5000</v>
      </c>
      <c r="G39" s="103">
        <f>'BASE - Pre CV-19'!O84</f>
        <v>5000</v>
      </c>
      <c r="I39" s="196">
        <f>D39</f>
        <v>135000</v>
      </c>
      <c r="J39" s="197">
        <f t="shared" ref="J39:L39" si="35">E39</f>
        <v>0</v>
      </c>
      <c r="K39" s="197">
        <f t="shared" si="35"/>
        <v>5000</v>
      </c>
      <c r="L39" s="198">
        <f t="shared" si="35"/>
        <v>5000</v>
      </c>
      <c r="M39" s="138"/>
      <c r="N39" s="196">
        <f>D40</f>
        <v>114827</v>
      </c>
      <c r="O39" s="197">
        <f t="shared" ref="O39:Q39" si="36">E40</f>
        <v>0</v>
      </c>
      <c r="P39" s="197">
        <f t="shared" si="36"/>
        <v>5000</v>
      </c>
      <c r="Q39" s="198">
        <f t="shared" si="36"/>
        <v>5000</v>
      </c>
      <c r="R39" s="138"/>
      <c r="S39" s="196">
        <f>N39-I39</f>
        <v>-20173</v>
      </c>
      <c r="T39" s="197">
        <f t="shared" ref="T39:V39" si="37">O39-J39</f>
        <v>0</v>
      </c>
      <c r="U39" s="197">
        <f t="shared" si="37"/>
        <v>0</v>
      </c>
      <c r="V39" s="227">
        <f t="shared" si="37"/>
        <v>0</v>
      </c>
      <c r="W39" s="234"/>
    </row>
    <row r="40" spans="2:23" ht="12.75" customHeight="1" x14ac:dyDescent="0.35">
      <c r="B40" s="98"/>
      <c r="C40" s="100" t="s">
        <v>224</v>
      </c>
      <c r="D40" s="113">
        <v>114827</v>
      </c>
      <c r="E40" s="113"/>
      <c r="F40" s="113">
        <v>5000</v>
      </c>
      <c r="G40" s="105">
        <f>G39</f>
        <v>5000</v>
      </c>
      <c r="I40" s="196"/>
      <c r="J40" s="197"/>
      <c r="K40" s="197"/>
      <c r="L40" s="198"/>
      <c r="M40" s="138"/>
      <c r="N40" s="196"/>
      <c r="O40" s="197"/>
      <c r="P40" s="197"/>
      <c r="Q40" s="198"/>
      <c r="R40" s="138"/>
      <c r="S40" s="196"/>
      <c r="T40" s="197"/>
      <c r="U40" s="197"/>
      <c r="V40" s="227"/>
      <c r="W40" s="234"/>
    </row>
    <row r="41" spans="2:23" ht="12.75" customHeight="1" x14ac:dyDescent="0.35">
      <c r="C41" s="84"/>
      <c r="D41" s="106"/>
      <c r="E41" s="107"/>
      <c r="F41" s="108"/>
      <c r="I41" s="196"/>
      <c r="J41" s="197"/>
      <c r="K41" s="197"/>
      <c r="L41" s="198"/>
      <c r="M41" s="138"/>
      <c r="N41" s="196"/>
      <c r="O41" s="197"/>
      <c r="P41" s="197"/>
      <c r="Q41" s="198"/>
      <c r="R41" s="138"/>
      <c r="S41" s="196"/>
      <c r="T41" s="197"/>
      <c r="U41" s="197"/>
      <c r="V41" s="227"/>
      <c r="W41" s="234"/>
    </row>
    <row r="42" spans="2:23" ht="12.75" customHeight="1" thickBot="1" x14ac:dyDescent="0.4">
      <c r="B42" s="6" t="s">
        <v>62</v>
      </c>
      <c r="C42" s="85"/>
      <c r="D42" s="116">
        <f>D39+D37+D35+D33+D31</f>
        <v>266416.70999999996</v>
      </c>
      <c r="E42" s="116">
        <f>E39+E37+E35+E33+E31</f>
        <v>364770.85</v>
      </c>
      <c r="F42" s="116">
        <f>F39+F37+F35+F33+F31</f>
        <v>144000</v>
      </c>
      <c r="G42" s="103">
        <f>'BASE - Pre CV-19'!O86</f>
        <v>385084.79250000004</v>
      </c>
      <c r="I42" s="196">
        <f>D42</f>
        <v>266416.70999999996</v>
      </c>
      <c r="J42" s="197">
        <f t="shared" ref="J42:L42" si="38">E42</f>
        <v>364770.85</v>
      </c>
      <c r="K42" s="197">
        <f t="shared" si="38"/>
        <v>144000</v>
      </c>
      <c r="L42" s="198">
        <f t="shared" si="38"/>
        <v>385084.79250000004</v>
      </c>
      <c r="M42" s="138"/>
      <c r="N42" s="196">
        <f>D43</f>
        <v>183707</v>
      </c>
      <c r="O42" s="197">
        <f t="shared" ref="O42:Q42" si="39">E43</f>
        <v>35000</v>
      </c>
      <c r="P42" s="197">
        <f t="shared" si="39"/>
        <v>168811</v>
      </c>
      <c r="Q42" s="198">
        <f t="shared" si="39"/>
        <v>385084.79250000004</v>
      </c>
      <c r="R42" s="138"/>
      <c r="S42" s="196">
        <f>N42-I42</f>
        <v>-82709.709999999963</v>
      </c>
      <c r="T42" s="197">
        <f t="shared" ref="T42:V42" si="40">O42-J42</f>
        <v>-329770.84999999998</v>
      </c>
      <c r="U42" s="197">
        <f t="shared" si="40"/>
        <v>24811</v>
      </c>
      <c r="V42" s="227">
        <f t="shared" si="40"/>
        <v>0</v>
      </c>
      <c r="W42" s="234" t="s">
        <v>334</v>
      </c>
    </row>
    <row r="43" spans="2:23" ht="12.75" customHeight="1" thickTop="1" x14ac:dyDescent="0.35">
      <c r="B43" s="98"/>
      <c r="C43" s="100" t="s">
        <v>224</v>
      </c>
      <c r="D43" s="113">
        <f>D40+D38+D36+D34+D32</f>
        <v>183707</v>
      </c>
      <c r="E43" s="113">
        <f>E40+E38+E36+E34+E32</f>
        <v>35000</v>
      </c>
      <c r="F43" s="113">
        <f>F40+F38+F36+F34+F32</f>
        <v>168811</v>
      </c>
      <c r="G43" s="105">
        <f>G42</f>
        <v>385084.79250000004</v>
      </c>
      <c r="I43" s="216"/>
      <c r="J43" s="217"/>
      <c r="K43" s="217"/>
      <c r="L43" s="218"/>
      <c r="M43" s="138"/>
      <c r="N43" s="216"/>
      <c r="O43" s="217"/>
      <c r="P43" s="217"/>
      <c r="Q43" s="218"/>
      <c r="R43" s="138"/>
      <c r="S43" s="216"/>
      <c r="T43" s="217"/>
      <c r="U43" s="217"/>
      <c r="V43" s="229"/>
      <c r="W43" s="234"/>
    </row>
    <row r="44" spans="2:23" ht="12.75" customHeight="1" x14ac:dyDescent="0.35">
      <c r="C44" s="84"/>
      <c r="D44" s="106"/>
      <c r="E44" s="107"/>
      <c r="F44" s="108"/>
      <c r="I44" s="219"/>
      <c r="J44" s="220"/>
      <c r="K44" s="220"/>
      <c r="L44" s="221"/>
      <c r="M44" s="138"/>
      <c r="N44" s="219"/>
      <c r="O44" s="220"/>
      <c r="P44" s="220"/>
      <c r="Q44" s="221"/>
      <c r="R44" s="138"/>
      <c r="S44" s="219"/>
      <c r="T44" s="220"/>
      <c r="U44" s="220"/>
      <c r="V44" s="230"/>
      <c r="W44" s="234"/>
    </row>
    <row r="45" spans="2:23" ht="12.75" customHeight="1" thickBot="1" x14ac:dyDescent="0.4">
      <c r="B45" s="6" t="s">
        <v>63</v>
      </c>
      <c r="C45" s="85"/>
      <c r="D45" s="103">
        <f>D42+D28+D24+D12</f>
        <v>879912.47745454544</v>
      </c>
      <c r="E45" s="103">
        <f>E42+E28+E24+E12</f>
        <v>998041.4058272728</v>
      </c>
      <c r="F45" s="103">
        <f>F42+F28+F24+F12</f>
        <v>801711.38361863652</v>
      </c>
      <c r="G45" s="103">
        <f>G42+G28+G24+G12</f>
        <v>1034248.4031926398</v>
      </c>
      <c r="H45" s="106">
        <f>G42+G28+G24+G12</f>
        <v>1034248.4031926398</v>
      </c>
      <c r="I45" s="196">
        <f>D45</f>
        <v>879912.47745454544</v>
      </c>
      <c r="J45" s="197">
        <f t="shared" ref="J45:L45" si="41">E45</f>
        <v>998041.4058272728</v>
      </c>
      <c r="K45" s="197">
        <f t="shared" si="41"/>
        <v>801711.38361863652</v>
      </c>
      <c r="L45" s="198">
        <f t="shared" si="41"/>
        <v>1034248.4031926398</v>
      </c>
      <c r="M45" s="138"/>
      <c r="N45" s="196">
        <f>D46</f>
        <v>792298</v>
      </c>
      <c r="O45" s="197">
        <f t="shared" ref="O45:Q45" si="42">E46</f>
        <v>500116.1133073864</v>
      </c>
      <c r="P45" s="197">
        <f t="shared" si="42"/>
        <v>650697.10397275584</v>
      </c>
      <c r="Q45" s="198">
        <f t="shared" si="42"/>
        <v>872478.5306179293</v>
      </c>
      <c r="R45" s="138"/>
      <c r="S45" s="196">
        <f>N45-I45</f>
        <v>-87614.477454545442</v>
      </c>
      <c r="T45" s="197">
        <f t="shared" ref="T45:V45" si="43">O45-J45</f>
        <v>-497925.2925198864</v>
      </c>
      <c r="U45" s="197">
        <f t="shared" si="43"/>
        <v>-151014.27964588068</v>
      </c>
      <c r="V45" s="227">
        <f t="shared" si="43"/>
        <v>-161769.87257471052</v>
      </c>
      <c r="W45" s="234"/>
    </row>
    <row r="46" spans="2:23" ht="12.75" customHeight="1" thickTop="1" x14ac:dyDescent="0.35">
      <c r="B46" s="98"/>
      <c r="C46" s="100" t="s">
        <v>224</v>
      </c>
      <c r="D46" s="113">
        <f>D43+D29+D25+D13</f>
        <v>792298</v>
      </c>
      <c r="E46" s="113">
        <f>E43+E29+E25+E13</f>
        <v>500116.1133073864</v>
      </c>
      <c r="F46" s="113">
        <f>F43+F29+F25+F13</f>
        <v>650697.10397275584</v>
      </c>
      <c r="G46" s="105">
        <f>G43+G29+G25+G13</f>
        <v>872478.5306179293</v>
      </c>
      <c r="I46" s="216"/>
      <c r="J46" s="217"/>
      <c r="K46" s="217"/>
      <c r="L46" s="218"/>
      <c r="M46" s="138"/>
      <c r="N46" s="216"/>
      <c r="O46" s="217"/>
      <c r="P46" s="217"/>
      <c r="Q46" s="218"/>
      <c r="R46" s="138"/>
      <c r="S46" s="216"/>
      <c r="T46" s="217"/>
      <c r="U46" s="217"/>
      <c r="V46" s="229"/>
      <c r="W46" s="234"/>
    </row>
    <row r="47" spans="2:23" ht="12.75" customHeight="1" x14ac:dyDescent="0.35">
      <c r="B47" s="98"/>
      <c r="C47" s="99"/>
      <c r="D47" s="115"/>
      <c r="E47" s="115"/>
      <c r="F47" s="116"/>
      <c r="I47" s="222"/>
      <c r="J47" s="223"/>
      <c r="K47" s="223"/>
      <c r="L47" s="224"/>
      <c r="M47" s="138"/>
      <c r="N47" s="222"/>
      <c r="O47" s="223"/>
      <c r="P47" s="223"/>
      <c r="Q47" s="224"/>
      <c r="R47" s="138"/>
      <c r="S47" s="222"/>
      <c r="T47" s="223"/>
      <c r="U47" s="223"/>
      <c r="V47" s="231"/>
      <c r="W47" s="234"/>
    </row>
    <row r="48" spans="2:23" ht="12.75" customHeight="1" x14ac:dyDescent="0.35">
      <c r="B48" s="3" t="s">
        <v>65</v>
      </c>
      <c r="D48" s="106"/>
      <c r="E48" s="107"/>
      <c r="F48" s="108"/>
      <c r="I48" s="222"/>
      <c r="J48" s="223"/>
      <c r="K48" s="223"/>
      <c r="L48" s="224"/>
      <c r="M48" s="138"/>
      <c r="N48" s="222"/>
      <c r="O48" s="223"/>
      <c r="P48" s="223"/>
      <c r="Q48" s="224"/>
      <c r="R48" s="138"/>
      <c r="S48" s="222"/>
      <c r="T48" s="223"/>
      <c r="U48" s="223"/>
      <c r="V48" s="231"/>
      <c r="W48" s="234"/>
    </row>
    <row r="49" spans="2:23" ht="12.75" customHeight="1" x14ac:dyDescent="0.35">
      <c r="B49" s="3"/>
      <c r="D49" s="106"/>
      <c r="E49" s="107"/>
      <c r="F49" s="108"/>
      <c r="I49" s="222"/>
      <c r="J49" s="223"/>
      <c r="K49" s="223"/>
      <c r="L49" s="224"/>
      <c r="M49" s="138"/>
      <c r="N49" s="222"/>
      <c r="O49" s="223"/>
      <c r="P49" s="223"/>
      <c r="Q49" s="224"/>
      <c r="R49" s="138"/>
      <c r="S49" s="222"/>
      <c r="T49" s="223"/>
      <c r="U49" s="223"/>
      <c r="V49" s="231"/>
      <c r="W49" s="234"/>
    </row>
    <row r="50" spans="2:23" ht="12.75" customHeight="1" x14ac:dyDescent="0.35">
      <c r="B50" t="s">
        <v>226</v>
      </c>
      <c r="D50" s="105">
        <v>97066</v>
      </c>
      <c r="E50" s="107"/>
      <c r="F50" s="108"/>
      <c r="I50" s="219"/>
      <c r="J50" s="220"/>
      <c r="K50" s="220"/>
      <c r="L50" s="221"/>
      <c r="M50" s="138"/>
      <c r="N50" s="219"/>
      <c r="O50" s="220"/>
      <c r="P50" s="220"/>
      <c r="Q50" s="221"/>
      <c r="R50" s="138"/>
      <c r="S50" s="219"/>
      <c r="T50" s="220"/>
      <c r="U50" s="220"/>
      <c r="V50" s="230"/>
      <c r="W50" s="234"/>
    </row>
    <row r="51" spans="2:23" ht="12.75" customHeight="1" x14ac:dyDescent="0.35">
      <c r="B51" s="3" t="s">
        <v>225</v>
      </c>
      <c r="D51" s="103">
        <v>66700</v>
      </c>
      <c r="E51" s="103">
        <v>65834</v>
      </c>
      <c r="F51" s="103">
        <v>68990</v>
      </c>
      <c r="G51" s="103">
        <f>'BASE - Pre CV-19'!O95+'BASE - Pre CV-19'!O96+'BASE - Pre CV-19'!O100</f>
        <v>66985.125599999999</v>
      </c>
      <c r="I51" s="196">
        <f>D51</f>
        <v>66700</v>
      </c>
      <c r="J51" s="197">
        <f t="shared" ref="J51:L51" si="44">E51</f>
        <v>65834</v>
      </c>
      <c r="K51" s="197">
        <f t="shared" si="44"/>
        <v>68990</v>
      </c>
      <c r="L51" s="198">
        <f t="shared" si="44"/>
        <v>66985.125599999999</v>
      </c>
      <c r="M51" s="138"/>
      <c r="N51" s="196">
        <f>D52</f>
        <v>54993</v>
      </c>
      <c r="O51" s="197">
        <f t="shared" ref="O51:Q51" si="45">E52</f>
        <v>65834</v>
      </c>
      <c r="P51" s="197">
        <f t="shared" si="45"/>
        <v>68990</v>
      </c>
      <c r="Q51" s="198">
        <f t="shared" si="45"/>
        <v>66985.125599999999</v>
      </c>
      <c r="R51" s="138"/>
      <c r="S51" s="196">
        <f>N51-I51</f>
        <v>-11707</v>
      </c>
      <c r="T51" s="197">
        <f t="shared" ref="T51:V51" si="46">O51-J51</f>
        <v>0</v>
      </c>
      <c r="U51" s="197">
        <f t="shared" si="46"/>
        <v>0</v>
      </c>
      <c r="V51" s="227">
        <f t="shared" si="46"/>
        <v>0</v>
      </c>
      <c r="W51" s="234"/>
    </row>
    <row r="52" spans="2:23" ht="12.75" customHeight="1" x14ac:dyDescent="0.35">
      <c r="B52" s="3"/>
      <c r="C52" s="100" t="s">
        <v>224</v>
      </c>
      <c r="D52" s="105">
        <v>54993</v>
      </c>
      <c r="E52" s="105">
        <v>65834</v>
      </c>
      <c r="F52" s="105">
        <v>68990</v>
      </c>
      <c r="G52" s="105">
        <f>G51</f>
        <v>66985.125599999999</v>
      </c>
      <c r="I52" s="216"/>
      <c r="J52" s="217"/>
      <c r="K52" s="217"/>
      <c r="L52" s="218"/>
      <c r="M52" s="138"/>
      <c r="N52" s="216"/>
      <c r="O52" s="217"/>
      <c r="P52" s="217"/>
      <c r="Q52" s="218"/>
      <c r="R52" s="138"/>
      <c r="S52" s="216"/>
      <c r="T52" s="217"/>
      <c r="U52" s="217"/>
      <c r="V52" s="229"/>
      <c r="W52" s="234"/>
    </row>
    <row r="53" spans="2:23" ht="12.75" customHeight="1" x14ac:dyDescent="0.35">
      <c r="B53" s="3" t="s">
        <v>73</v>
      </c>
      <c r="C53" s="33"/>
      <c r="D53" s="103">
        <v>35391.565799999997</v>
      </c>
      <c r="E53" s="103">
        <v>36821.734484000001</v>
      </c>
      <c r="F53" s="103">
        <v>38329.059794319997</v>
      </c>
      <c r="G53" s="103">
        <f>'BASE - Pre CV-19'!O115</f>
        <v>40606.326298433603</v>
      </c>
      <c r="I53" s="196">
        <f>D53</f>
        <v>35391.565799999997</v>
      </c>
      <c r="J53" s="197">
        <f t="shared" ref="J53:L53" si="47">E53</f>
        <v>36821.734484000001</v>
      </c>
      <c r="K53" s="197">
        <f t="shared" si="47"/>
        <v>38329.059794319997</v>
      </c>
      <c r="L53" s="198">
        <f t="shared" si="47"/>
        <v>40606.326298433603</v>
      </c>
      <c r="M53" s="138"/>
      <c r="N53" s="196">
        <f>D54</f>
        <v>34069</v>
      </c>
      <c r="O53" s="197">
        <f t="shared" ref="O53:Q53" si="48">E54</f>
        <v>40797</v>
      </c>
      <c r="P53" s="197">
        <f t="shared" si="48"/>
        <v>38330</v>
      </c>
      <c r="Q53" s="198">
        <f t="shared" si="48"/>
        <v>40606.326298433603</v>
      </c>
      <c r="R53" s="138"/>
      <c r="S53" s="196">
        <f>N53-I53</f>
        <v>-1322.5657999999967</v>
      </c>
      <c r="T53" s="197">
        <f t="shared" ref="T53:V53" si="49">O53-J53</f>
        <v>3975.2655159999995</v>
      </c>
      <c r="U53" s="197">
        <f t="shared" si="49"/>
        <v>0.94020568000269122</v>
      </c>
      <c r="V53" s="227">
        <f t="shared" si="49"/>
        <v>0</v>
      </c>
      <c r="W53" s="234"/>
    </row>
    <row r="54" spans="2:23" ht="12.75" customHeight="1" x14ac:dyDescent="0.35">
      <c r="B54" s="98"/>
      <c r="C54" s="100" t="s">
        <v>224</v>
      </c>
      <c r="D54" s="113">
        <v>34069</v>
      </c>
      <c r="E54" s="113">
        <v>40797</v>
      </c>
      <c r="F54" s="113">
        <v>38330</v>
      </c>
      <c r="G54" s="105">
        <f>G53</f>
        <v>40606.326298433603</v>
      </c>
      <c r="I54" s="216"/>
      <c r="J54" s="217"/>
      <c r="K54" s="217"/>
      <c r="L54" s="218"/>
      <c r="M54" s="138"/>
      <c r="N54" s="216"/>
      <c r="O54" s="217"/>
      <c r="P54" s="217"/>
      <c r="Q54" s="218"/>
      <c r="R54" s="138"/>
      <c r="S54" s="216"/>
      <c r="T54" s="217"/>
      <c r="U54" s="217"/>
      <c r="V54" s="229"/>
      <c r="W54" s="234"/>
    </row>
    <row r="55" spans="2:23" ht="12.75" customHeight="1" x14ac:dyDescent="0.35">
      <c r="B55" s="3" t="s">
        <v>85</v>
      </c>
      <c r="C55" s="33"/>
      <c r="D55" s="103">
        <v>293552</v>
      </c>
      <c r="E55" s="103">
        <v>302669.54000000004</v>
      </c>
      <c r="F55" s="103">
        <v>311786.00579999998</v>
      </c>
      <c r="G55" s="103">
        <f>'BASE - Pre CV-19'!O129</f>
        <v>321185.30402600003</v>
      </c>
      <c r="I55" s="196">
        <f>D55</f>
        <v>293552</v>
      </c>
      <c r="J55" s="197">
        <f t="shared" ref="J55:L55" si="50">E55</f>
        <v>302669.54000000004</v>
      </c>
      <c r="K55" s="197">
        <f t="shared" si="50"/>
        <v>311786.00579999998</v>
      </c>
      <c r="L55" s="198">
        <f t="shared" si="50"/>
        <v>321185.30402600003</v>
      </c>
      <c r="M55" s="138"/>
      <c r="N55" s="196">
        <f>D56</f>
        <v>257938</v>
      </c>
      <c r="O55" s="197">
        <f t="shared" ref="O55:Q55" si="51">E56</f>
        <v>302670</v>
      </c>
      <c r="P55" s="197">
        <f t="shared" si="51"/>
        <v>311786</v>
      </c>
      <c r="Q55" s="198">
        <f t="shared" si="51"/>
        <v>321185.30402600003</v>
      </c>
      <c r="R55" s="138"/>
      <c r="S55" s="196">
        <f>N55-I55</f>
        <v>-35614</v>
      </c>
      <c r="T55" s="197">
        <f t="shared" ref="T55:V55" si="52">O55-J55</f>
        <v>0.4599999999627471</v>
      </c>
      <c r="U55" s="197">
        <f t="shared" si="52"/>
        <v>-5.799999984446913E-3</v>
      </c>
      <c r="V55" s="227">
        <f t="shared" si="52"/>
        <v>0</v>
      </c>
      <c r="W55" s="234"/>
    </row>
    <row r="56" spans="2:23" ht="12.75" customHeight="1" x14ac:dyDescent="0.35">
      <c r="B56" s="98"/>
      <c r="C56" s="100" t="s">
        <v>224</v>
      </c>
      <c r="D56" s="113">
        <v>257938</v>
      </c>
      <c r="E56" s="113">
        <v>302670</v>
      </c>
      <c r="F56" s="113">
        <v>311786</v>
      </c>
      <c r="G56" s="105">
        <f>G55</f>
        <v>321185.30402600003</v>
      </c>
      <c r="I56" s="216"/>
      <c r="J56" s="217"/>
      <c r="K56" s="217"/>
      <c r="L56" s="218"/>
      <c r="M56" s="138"/>
      <c r="N56" s="216"/>
      <c r="O56" s="217"/>
      <c r="P56" s="217"/>
      <c r="Q56" s="218"/>
      <c r="R56" s="138"/>
      <c r="S56" s="216"/>
      <c r="T56" s="217"/>
      <c r="U56" s="217"/>
      <c r="V56" s="229"/>
      <c r="W56" s="234"/>
    </row>
    <row r="57" spans="2:23" ht="12.75" customHeight="1" x14ac:dyDescent="0.35">
      <c r="B57" s="3" t="s">
        <v>98</v>
      </c>
      <c r="C57" s="33"/>
      <c r="D57" s="103">
        <v>94932</v>
      </c>
      <c r="E57" s="103">
        <v>99678.6</v>
      </c>
      <c r="F57" s="103">
        <v>99678.6</v>
      </c>
      <c r="G57" s="103">
        <f>'BASE - Pre CV-19'!O136</f>
        <v>104662.53</v>
      </c>
      <c r="I57" s="196">
        <f>D57</f>
        <v>94932</v>
      </c>
      <c r="J57" s="197">
        <f t="shared" ref="J57:L57" si="53">E57</f>
        <v>99678.6</v>
      </c>
      <c r="K57" s="197">
        <f t="shared" si="53"/>
        <v>99678.6</v>
      </c>
      <c r="L57" s="198">
        <f t="shared" si="53"/>
        <v>104662.53</v>
      </c>
      <c r="M57" s="138"/>
      <c r="N57" s="196">
        <f>D58</f>
        <v>100854</v>
      </c>
      <c r="O57" s="197">
        <f t="shared" ref="O57:Q57" si="54">E58</f>
        <v>94694.67</v>
      </c>
      <c r="P57" s="197">
        <f t="shared" si="54"/>
        <v>94694.67</v>
      </c>
      <c r="Q57" s="198">
        <f t="shared" si="54"/>
        <v>99429.4035</v>
      </c>
      <c r="R57" s="138"/>
      <c r="S57" s="196">
        <f>N57-I57</f>
        <v>5922</v>
      </c>
      <c r="T57" s="197">
        <f t="shared" ref="T57:V57" si="55">O57-J57</f>
        <v>-4983.9300000000076</v>
      </c>
      <c r="U57" s="197">
        <f t="shared" si="55"/>
        <v>-4983.9300000000076</v>
      </c>
      <c r="V57" s="227">
        <f t="shared" si="55"/>
        <v>-5233.1264999999985</v>
      </c>
      <c r="W57" s="234" t="s">
        <v>336</v>
      </c>
    </row>
    <row r="58" spans="2:23" ht="12.75" customHeight="1" x14ac:dyDescent="0.35">
      <c r="C58" s="100" t="s">
        <v>224</v>
      </c>
      <c r="D58" s="118">
        <v>100854</v>
      </c>
      <c r="E58" s="118">
        <f>E57*0.95</f>
        <v>94694.67</v>
      </c>
      <c r="F58" s="118">
        <f t="shared" ref="F58:G58" si="56">F57*0.95</f>
        <v>94694.67</v>
      </c>
      <c r="G58" s="118">
        <f t="shared" si="56"/>
        <v>99429.4035</v>
      </c>
      <c r="I58" s="196"/>
      <c r="J58" s="197"/>
      <c r="K58" s="197"/>
      <c r="L58" s="198"/>
      <c r="M58" s="138"/>
      <c r="N58" s="196"/>
      <c r="O58" s="197"/>
      <c r="P58" s="197"/>
      <c r="Q58" s="198"/>
      <c r="R58" s="138"/>
      <c r="S58" s="196"/>
      <c r="T58" s="197"/>
      <c r="U58" s="197"/>
      <c r="V58" s="227"/>
      <c r="W58" s="234"/>
    </row>
    <row r="59" spans="2:23" ht="12.75" customHeight="1" x14ac:dyDescent="0.35">
      <c r="B59" s="3" t="s">
        <v>102</v>
      </c>
      <c r="C59" s="83"/>
      <c r="D59" s="103">
        <v>154690</v>
      </c>
      <c r="E59" s="103">
        <v>223723.99</v>
      </c>
      <c r="F59" s="103">
        <v>161081.476</v>
      </c>
      <c r="G59" s="103">
        <f>'BASE - Pre CV-19'!O145</f>
        <v>229500</v>
      </c>
      <c r="I59" s="196">
        <f>D59</f>
        <v>154690</v>
      </c>
      <c r="J59" s="197">
        <f t="shared" ref="J59:L59" si="57">E59</f>
        <v>223723.99</v>
      </c>
      <c r="K59" s="197">
        <f t="shared" si="57"/>
        <v>161081.476</v>
      </c>
      <c r="L59" s="198">
        <f t="shared" si="57"/>
        <v>229500</v>
      </c>
      <c r="M59" s="138"/>
      <c r="N59" s="196">
        <f>D60</f>
        <v>97645</v>
      </c>
      <c r="O59" s="197">
        <f t="shared" ref="O59:Q59" si="58">E60</f>
        <v>161081.476</v>
      </c>
      <c r="P59" s="197">
        <f t="shared" si="58"/>
        <v>223723.99</v>
      </c>
      <c r="Q59" s="198">
        <f t="shared" si="58"/>
        <v>229500</v>
      </c>
      <c r="R59" s="138"/>
      <c r="S59" s="196">
        <f>N59-I59</f>
        <v>-57045</v>
      </c>
      <c r="T59" s="197">
        <f t="shared" ref="T59:V59" si="59">O59-J59</f>
        <v>-62642.513999999996</v>
      </c>
      <c r="U59" s="197">
        <f t="shared" si="59"/>
        <v>62642.513999999996</v>
      </c>
      <c r="V59" s="227">
        <f t="shared" si="59"/>
        <v>0</v>
      </c>
      <c r="W59" s="234" t="s">
        <v>301</v>
      </c>
    </row>
    <row r="60" spans="2:23" ht="12.75" customHeight="1" x14ac:dyDescent="0.35">
      <c r="B60" s="98"/>
      <c r="C60" s="100" t="s">
        <v>224</v>
      </c>
      <c r="D60" s="113">
        <v>97645</v>
      </c>
      <c r="E60" s="113">
        <f>F59</f>
        <v>161081.476</v>
      </c>
      <c r="F60" s="113">
        <f>E59</f>
        <v>223723.99</v>
      </c>
      <c r="G60" s="105">
        <f>G59</f>
        <v>229500</v>
      </c>
      <c r="I60" s="216"/>
      <c r="J60" s="217"/>
      <c r="K60" s="217"/>
      <c r="L60" s="218"/>
      <c r="M60" s="138"/>
      <c r="N60" s="216"/>
      <c r="O60" s="217"/>
      <c r="P60" s="217"/>
      <c r="Q60" s="218"/>
      <c r="R60" s="138"/>
      <c r="S60" s="216"/>
      <c r="T60" s="217"/>
      <c r="U60" s="217"/>
      <c r="V60" s="229"/>
      <c r="W60" s="234"/>
    </row>
    <row r="61" spans="2:23" ht="12.75" customHeight="1" x14ac:dyDescent="0.35">
      <c r="B61" s="3" t="s">
        <v>110</v>
      </c>
      <c r="C61" s="84"/>
      <c r="D61" s="106">
        <v>121500</v>
      </c>
      <c r="E61" s="107">
        <v>4500</v>
      </c>
      <c r="F61" s="108"/>
      <c r="I61" s="222"/>
      <c r="J61" s="223"/>
      <c r="K61" s="223"/>
      <c r="L61" s="224"/>
      <c r="M61" s="138"/>
      <c r="N61" s="222"/>
      <c r="O61" s="223"/>
      <c r="P61" s="223"/>
      <c r="Q61" s="224"/>
      <c r="R61" s="138"/>
      <c r="S61" s="222"/>
      <c r="T61" s="223"/>
      <c r="U61" s="223"/>
      <c r="V61" s="231"/>
      <c r="W61" s="234"/>
    </row>
    <row r="62" spans="2:23" ht="12.75" customHeight="1" x14ac:dyDescent="0.35">
      <c r="C62" s="84"/>
      <c r="D62" s="106"/>
      <c r="E62" s="107"/>
      <c r="F62" s="108"/>
      <c r="I62" s="222"/>
      <c r="J62" s="223"/>
      <c r="K62" s="223"/>
      <c r="L62" s="224"/>
      <c r="M62" s="138"/>
      <c r="N62" s="222"/>
      <c r="O62" s="223"/>
      <c r="P62" s="223"/>
      <c r="Q62" s="224"/>
      <c r="R62" s="138"/>
      <c r="S62" s="222"/>
      <c r="T62" s="223"/>
      <c r="U62" s="223"/>
      <c r="V62" s="231"/>
      <c r="W62" s="234"/>
    </row>
    <row r="63" spans="2:23" ht="12.75" customHeight="1" x14ac:dyDescent="0.35">
      <c r="B63" s="3" t="s">
        <v>113</v>
      </c>
      <c r="C63" s="83"/>
      <c r="D63" s="103">
        <v>83000</v>
      </c>
      <c r="E63" s="103">
        <v>0</v>
      </c>
      <c r="F63" s="103">
        <v>87150</v>
      </c>
      <c r="G63" s="103">
        <f>'BASE - Pre CV-19'!O155</f>
        <v>0</v>
      </c>
      <c r="I63" s="196">
        <f>D63</f>
        <v>83000</v>
      </c>
      <c r="J63" s="197">
        <f t="shared" ref="J63:L63" si="60">E63</f>
        <v>0</v>
      </c>
      <c r="K63" s="197">
        <f t="shared" si="60"/>
        <v>87150</v>
      </c>
      <c r="L63" s="198">
        <f t="shared" si="60"/>
        <v>0</v>
      </c>
      <c r="M63" s="138"/>
      <c r="N63" s="196">
        <f>D64</f>
        <v>80453</v>
      </c>
      <c r="O63" s="197">
        <f t="shared" ref="O63:Q63" si="61">E64</f>
        <v>0</v>
      </c>
      <c r="P63" s="197">
        <f t="shared" si="61"/>
        <v>0</v>
      </c>
      <c r="Q63" s="198">
        <f t="shared" si="61"/>
        <v>0</v>
      </c>
      <c r="R63" s="138"/>
      <c r="S63" s="196">
        <f>N63-I63</f>
        <v>-2547</v>
      </c>
      <c r="T63" s="197">
        <f t="shared" ref="T63:V63" si="62">O63-J63</f>
        <v>0</v>
      </c>
      <c r="U63" s="197">
        <f t="shared" si="62"/>
        <v>-87150</v>
      </c>
      <c r="V63" s="227">
        <f t="shared" si="62"/>
        <v>0</v>
      </c>
      <c r="W63" s="234"/>
    </row>
    <row r="64" spans="2:23" ht="12.75" customHeight="1" x14ac:dyDescent="0.35">
      <c r="C64" s="100" t="s">
        <v>224</v>
      </c>
      <c r="D64" s="105">
        <v>80453</v>
      </c>
      <c r="E64" s="105"/>
      <c r="F64" s="105">
        <v>0</v>
      </c>
      <c r="G64" s="105">
        <f>G63</f>
        <v>0</v>
      </c>
      <c r="I64" s="216"/>
      <c r="J64" s="217"/>
      <c r="K64" s="217"/>
      <c r="L64" s="218"/>
      <c r="M64" s="138"/>
      <c r="N64" s="216"/>
      <c r="O64" s="217"/>
      <c r="P64" s="217"/>
      <c r="Q64" s="218"/>
      <c r="R64" s="138"/>
      <c r="S64" s="216"/>
      <c r="T64" s="217"/>
      <c r="U64" s="217"/>
      <c r="V64" s="229"/>
      <c r="W64" s="234"/>
    </row>
    <row r="65" spans="2:23" ht="12.75" customHeight="1" x14ac:dyDescent="0.35">
      <c r="B65" s="3" t="s">
        <v>115</v>
      </c>
      <c r="C65" s="83"/>
      <c r="D65" s="103">
        <v>0</v>
      </c>
      <c r="E65" s="103">
        <v>86111.3</v>
      </c>
      <c r="F65" s="103">
        <v>0</v>
      </c>
      <c r="G65" s="103">
        <f>'BASE - Pre CV-19'!O161</f>
        <v>86442.010000000009</v>
      </c>
      <c r="I65" s="196">
        <f>D65</f>
        <v>0</v>
      </c>
      <c r="J65" s="197">
        <f t="shared" ref="J65:L65" si="63">E65</f>
        <v>86111.3</v>
      </c>
      <c r="K65" s="197">
        <f t="shared" si="63"/>
        <v>0</v>
      </c>
      <c r="L65" s="198">
        <f t="shared" si="63"/>
        <v>86442.010000000009</v>
      </c>
      <c r="M65" s="138"/>
      <c r="N65" s="196">
        <f>D66</f>
        <v>0</v>
      </c>
      <c r="O65" s="197">
        <f t="shared" ref="O65:Q65" si="64">E66</f>
        <v>0</v>
      </c>
      <c r="P65" s="197">
        <f t="shared" si="64"/>
        <v>86111.3</v>
      </c>
      <c r="Q65" s="198">
        <f t="shared" si="64"/>
        <v>86442.010000000009</v>
      </c>
      <c r="R65" s="138"/>
      <c r="S65" s="196">
        <f>N65-I65</f>
        <v>0</v>
      </c>
      <c r="T65" s="197">
        <f t="shared" ref="T65:V65" si="65">O65-J65</f>
        <v>-86111.3</v>
      </c>
      <c r="U65" s="197">
        <f t="shared" si="65"/>
        <v>86111.3</v>
      </c>
      <c r="V65" s="227">
        <f t="shared" si="65"/>
        <v>0</v>
      </c>
      <c r="W65" s="234"/>
    </row>
    <row r="66" spans="2:23" ht="12.75" customHeight="1" x14ac:dyDescent="0.35">
      <c r="C66" s="100" t="s">
        <v>224</v>
      </c>
      <c r="D66" s="105"/>
      <c r="E66" s="105">
        <f>F65</f>
        <v>0</v>
      </c>
      <c r="F66" s="105">
        <f>E65</f>
        <v>86111.3</v>
      </c>
      <c r="G66" s="105">
        <f>G65</f>
        <v>86442.010000000009</v>
      </c>
      <c r="I66" s="216"/>
      <c r="J66" s="217"/>
      <c r="K66" s="217"/>
      <c r="L66" s="218"/>
      <c r="M66" s="138"/>
      <c r="N66" s="216"/>
      <c r="O66" s="217"/>
      <c r="P66" s="217"/>
      <c r="Q66" s="218"/>
      <c r="R66" s="138"/>
      <c r="S66" s="216"/>
      <c r="T66" s="217"/>
      <c r="U66" s="217"/>
      <c r="V66" s="229"/>
      <c r="W66" s="234"/>
    </row>
    <row r="67" spans="2:23" ht="12.75" customHeight="1" x14ac:dyDescent="0.35">
      <c r="B67" s="3" t="s">
        <v>120</v>
      </c>
      <c r="C67" s="83"/>
      <c r="D67" s="103">
        <v>0</v>
      </c>
      <c r="E67" s="103">
        <v>140700</v>
      </c>
      <c r="F67" s="103">
        <v>0</v>
      </c>
      <c r="G67" s="103">
        <f>'BASE - Pre CV-19'!O165</f>
        <v>147735</v>
      </c>
      <c r="I67" s="196">
        <f>D67</f>
        <v>0</v>
      </c>
      <c r="J67" s="197">
        <f t="shared" ref="J67:L67" si="66">E67</f>
        <v>140700</v>
      </c>
      <c r="K67" s="197">
        <f t="shared" si="66"/>
        <v>0</v>
      </c>
      <c r="L67" s="198">
        <f t="shared" si="66"/>
        <v>147735</v>
      </c>
      <c r="M67" s="138"/>
      <c r="N67" s="196">
        <f>D68</f>
        <v>0</v>
      </c>
      <c r="O67" s="197">
        <f t="shared" ref="O67:Q67" si="67">E68</f>
        <v>0</v>
      </c>
      <c r="P67" s="197">
        <f t="shared" si="67"/>
        <v>0</v>
      </c>
      <c r="Q67" s="198">
        <f t="shared" si="67"/>
        <v>147735</v>
      </c>
      <c r="R67" s="138"/>
      <c r="S67" s="196">
        <f>N67-I67</f>
        <v>0</v>
      </c>
      <c r="T67" s="197">
        <f t="shared" ref="T67:V67" si="68">O67-J67</f>
        <v>-140700</v>
      </c>
      <c r="U67" s="197">
        <f t="shared" si="68"/>
        <v>0</v>
      </c>
      <c r="V67" s="227">
        <f t="shared" si="68"/>
        <v>0</v>
      </c>
      <c r="W67" s="234"/>
    </row>
    <row r="68" spans="2:23" ht="12.75" customHeight="1" x14ac:dyDescent="0.35">
      <c r="C68" s="100" t="s">
        <v>224</v>
      </c>
      <c r="D68" s="105"/>
      <c r="E68" s="105">
        <v>0</v>
      </c>
      <c r="F68" s="105"/>
      <c r="G68" s="105">
        <f>G67</f>
        <v>147735</v>
      </c>
      <c r="I68" s="216"/>
      <c r="J68" s="217"/>
      <c r="K68" s="217"/>
      <c r="L68" s="218"/>
      <c r="M68" s="138"/>
      <c r="N68" s="216"/>
      <c r="O68" s="217"/>
      <c r="P68" s="217"/>
      <c r="Q68" s="218"/>
      <c r="R68" s="138"/>
      <c r="S68" s="216"/>
      <c r="T68" s="217"/>
      <c r="U68" s="217"/>
      <c r="V68" s="229"/>
      <c r="W68" s="234"/>
    </row>
    <row r="69" spans="2:23" ht="12.75" customHeight="1" x14ac:dyDescent="0.35">
      <c r="B69" s="3" t="s">
        <v>122</v>
      </c>
      <c r="C69" s="83"/>
      <c r="D69" s="103">
        <v>10000</v>
      </c>
      <c r="E69" s="103">
        <v>10000</v>
      </c>
      <c r="F69" s="103">
        <v>10000</v>
      </c>
      <c r="G69" s="103">
        <f>'BASE - Pre CV-19'!O169</f>
        <v>16000</v>
      </c>
      <c r="I69" s="196">
        <f>D69</f>
        <v>10000</v>
      </c>
      <c r="J69" s="197">
        <f t="shared" ref="J69:L69" si="69">E69</f>
        <v>10000</v>
      </c>
      <c r="K69" s="197">
        <f t="shared" si="69"/>
        <v>10000</v>
      </c>
      <c r="L69" s="198">
        <f t="shared" si="69"/>
        <v>16000</v>
      </c>
      <c r="M69" s="138"/>
      <c r="N69" s="196">
        <f>D70</f>
        <v>769</v>
      </c>
      <c r="O69" s="197">
        <f t="shared" ref="O69:Q69" si="70">E70</f>
        <v>10000</v>
      </c>
      <c r="P69" s="197">
        <f t="shared" si="70"/>
        <v>10000</v>
      </c>
      <c r="Q69" s="198">
        <f t="shared" si="70"/>
        <v>16000</v>
      </c>
      <c r="R69" s="138"/>
      <c r="S69" s="196">
        <f>N69-I69</f>
        <v>-9231</v>
      </c>
      <c r="T69" s="197">
        <f t="shared" ref="T69:V69" si="71">O69-J69</f>
        <v>0</v>
      </c>
      <c r="U69" s="197">
        <f t="shared" si="71"/>
        <v>0</v>
      </c>
      <c r="V69" s="227">
        <f t="shared" si="71"/>
        <v>0</v>
      </c>
      <c r="W69" s="234"/>
    </row>
    <row r="70" spans="2:23" ht="12.75" customHeight="1" x14ac:dyDescent="0.35">
      <c r="B70" s="98"/>
      <c r="C70" s="100" t="s">
        <v>224</v>
      </c>
      <c r="D70" s="113">
        <v>769</v>
      </c>
      <c r="E70" s="113">
        <v>10000</v>
      </c>
      <c r="F70" s="113">
        <v>10000</v>
      </c>
      <c r="G70" s="105">
        <f>G69</f>
        <v>16000</v>
      </c>
      <c r="I70" s="216"/>
      <c r="J70" s="217"/>
      <c r="K70" s="217"/>
      <c r="L70" s="218"/>
      <c r="M70" s="138"/>
      <c r="N70" s="216"/>
      <c r="O70" s="217"/>
      <c r="P70" s="217"/>
      <c r="Q70" s="218"/>
      <c r="R70" s="138"/>
      <c r="S70" s="216"/>
      <c r="T70" s="217"/>
      <c r="U70" s="217"/>
      <c r="V70" s="229"/>
      <c r="W70" s="234"/>
    </row>
    <row r="71" spans="2:23" ht="12.75" customHeight="1" thickBot="1" x14ac:dyDescent="0.4">
      <c r="B71" s="6" t="s">
        <v>125</v>
      </c>
      <c r="C71" s="85"/>
      <c r="D71" s="103">
        <f>D69+D67+D65+D63+D61</f>
        <v>214500</v>
      </c>
      <c r="E71" s="103">
        <f>E69+E67+E65+E63+E61</f>
        <v>241311.3</v>
      </c>
      <c r="F71" s="103">
        <f>F69+F67+F65+F63</f>
        <v>97150</v>
      </c>
      <c r="G71" s="103">
        <f>'BASE - Pre CV-19'!O171</f>
        <v>253677.01</v>
      </c>
      <c r="I71" s="196">
        <f>D71</f>
        <v>214500</v>
      </c>
      <c r="J71" s="197">
        <f t="shared" ref="J71:L71" si="72">E71</f>
        <v>241311.3</v>
      </c>
      <c r="K71" s="197">
        <f t="shared" si="72"/>
        <v>97150</v>
      </c>
      <c r="L71" s="198">
        <f t="shared" si="72"/>
        <v>253677.01</v>
      </c>
      <c r="M71" s="138"/>
      <c r="N71" s="196">
        <f>D72</f>
        <v>81278.22</v>
      </c>
      <c r="O71" s="197">
        <f t="shared" ref="O71:Q71" si="73">E72</f>
        <v>14500</v>
      </c>
      <c r="P71" s="197">
        <f t="shared" si="73"/>
        <v>96111.3</v>
      </c>
      <c r="Q71" s="198">
        <f t="shared" si="73"/>
        <v>253677.01</v>
      </c>
      <c r="R71" s="138"/>
      <c r="S71" s="196">
        <f>N71-I71</f>
        <v>-133221.78</v>
      </c>
      <c r="T71" s="197">
        <f t="shared" ref="T71:V71" si="74">O71-J71</f>
        <v>-226811.3</v>
      </c>
      <c r="U71" s="197">
        <f t="shared" si="74"/>
        <v>-1038.6999999999971</v>
      </c>
      <c r="V71" s="227">
        <f t="shared" si="74"/>
        <v>0</v>
      </c>
      <c r="W71" s="234" t="s">
        <v>334</v>
      </c>
    </row>
    <row r="72" spans="2:23" ht="12.75" customHeight="1" thickTop="1" x14ac:dyDescent="0.35">
      <c r="B72" s="98"/>
      <c r="C72" s="100" t="s">
        <v>224</v>
      </c>
      <c r="D72" s="105">
        <f>D70+D68+D66+D64+56.22</f>
        <v>81278.22</v>
      </c>
      <c r="E72" s="105">
        <f>E70+E68+E66+E64+4500</f>
        <v>14500</v>
      </c>
      <c r="F72" s="105">
        <f>F70+F68+F66+F64</f>
        <v>96111.3</v>
      </c>
      <c r="G72" s="105">
        <f>G71</f>
        <v>253677.01</v>
      </c>
      <c r="I72" s="216"/>
      <c r="J72" s="217"/>
      <c r="K72" s="217"/>
      <c r="L72" s="218"/>
      <c r="M72" s="138"/>
      <c r="N72" s="216"/>
      <c r="O72" s="217"/>
      <c r="P72" s="217"/>
      <c r="Q72" s="218"/>
      <c r="R72" s="138"/>
      <c r="S72" s="216"/>
      <c r="T72" s="217"/>
      <c r="U72" s="217"/>
      <c r="V72" s="229"/>
      <c r="W72" s="234"/>
    </row>
    <row r="73" spans="2:23" ht="12.75" customHeight="1" thickBot="1" x14ac:dyDescent="0.4">
      <c r="B73" s="6" t="s">
        <v>126</v>
      </c>
      <c r="C73" s="85"/>
      <c r="D73" s="103">
        <f>D71+D59+D57+D55+D53+D51</f>
        <v>859765.56579999998</v>
      </c>
      <c r="E73" s="103">
        <f>E71+E59+E57+E55+E53+E51</f>
        <v>970039.16448400007</v>
      </c>
      <c r="F73" s="103">
        <f>F71+F59+F57+F55+F53+F51</f>
        <v>777015.14159432007</v>
      </c>
      <c r="G73" s="103">
        <f>'BASE - Pre CV-19'!O173</f>
        <v>1016616.2959244336</v>
      </c>
      <c r="I73" s="196">
        <f>D73</f>
        <v>859765.56579999998</v>
      </c>
      <c r="J73" s="197">
        <f t="shared" ref="J73:L73" si="75">E73</f>
        <v>970039.16448400007</v>
      </c>
      <c r="K73" s="197">
        <f t="shared" si="75"/>
        <v>777015.14159432007</v>
      </c>
      <c r="L73" s="198">
        <f t="shared" si="75"/>
        <v>1016616.2959244336</v>
      </c>
      <c r="M73" s="138"/>
      <c r="N73" s="196">
        <f>D74</f>
        <v>723843.22</v>
      </c>
      <c r="O73" s="197">
        <f t="shared" ref="O73:Q73" si="76">E74</f>
        <v>679577.14600000007</v>
      </c>
      <c r="P73" s="197">
        <f t="shared" si="76"/>
        <v>833635.96000000008</v>
      </c>
      <c r="Q73" s="198">
        <f t="shared" si="76"/>
        <v>1016616.2959244336</v>
      </c>
      <c r="R73" s="138"/>
      <c r="S73" s="196">
        <f>N73-I73</f>
        <v>-135922.34580000001</v>
      </c>
      <c r="T73" s="197">
        <f t="shared" ref="T73:V73" si="77">O73-J73</f>
        <v>-290462.018484</v>
      </c>
      <c r="U73" s="197">
        <f t="shared" si="77"/>
        <v>56620.818405680009</v>
      </c>
      <c r="V73" s="227">
        <f t="shared" si="77"/>
        <v>0</v>
      </c>
      <c r="W73" s="234"/>
    </row>
    <row r="74" spans="2:23" ht="12.75" customHeight="1" thickTop="1" x14ac:dyDescent="0.35">
      <c r="B74" s="98"/>
      <c r="C74" s="100" t="s">
        <v>224</v>
      </c>
      <c r="D74" s="113">
        <f>D72+D60+D56+D54+D52+D50+D58</f>
        <v>723843.22</v>
      </c>
      <c r="E74" s="113">
        <f>E72+E60+E56+E54+E52+E50+E58</f>
        <v>679577.14600000007</v>
      </c>
      <c r="F74" s="113">
        <f>F72+F60+F56+F54+F52+F50+F58</f>
        <v>833635.96000000008</v>
      </c>
      <c r="G74" s="105">
        <f>G73</f>
        <v>1016616.2959244336</v>
      </c>
      <c r="I74" s="216"/>
      <c r="J74" s="217"/>
      <c r="K74" s="217"/>
      <c r="L74" s="218"/>
      <c r="M74" s="138"/>
      <c r="N74" s="216"/>
      <c r="O74" s="217"/>
      <c r="P74" s="217"/>
      <c r="Q74" s="218"/>
      <c r="R74" s="138"/>
      <c r="S74" s="216"/>
      <c r="T74" s="217"/>
      <c r="U74" s="217"/>
      <c r="V74" s="229"/>
      <c r="W74" s="234"/>
    </row>
    <row r="75" spans="2:23" ht="12.75" customHeight="1" thickBot="1" x14ac:dyDescent="0.4">
      <c r="B75" s="6" t="s">
        <v>168</v>
      </c>
      <c r="C75" s="85" t="s">
        <v>227</v>
      </c>
      <c r="D75" s="103">
        <f>D45-D73</f>
        <v>20146.91165454546</v>
      </c>
      <c r="E75" s="103">
        <f>E45-E73</f>
        <v>28002.241343272734</v>
      </c>
      <c r="F75" s="103">
        <f>F45-F73</f>
        <v>24696.242024316452</v>
      </c>
      <c r="G75" s="103">
        <f>G45-G73</f>
        <v>17632.107268206193</v>
      </c>
      <c r="I75" s="199">
        <f>D75</f>
        <v>20146.91165454546</v>
      </c>
      <c r="J75" s="200">
        <f t="shared" ref="J75:L75" si="78">E75</f>
        <v>28002.241343272734</v>
      </c>
      <c r="K75" s="200">
        <f t="shared" si="78"/>
        <v>24696.242024316452</v>
      </c>
      <c r="L75" s="201">
        <f t="shared" si="78"/>
        <v>17632.107268206193</v>
      </c>
      <c r="M75" s="138"/>
      <c r="N75" s="199">
        <f>D76</f>
        <v>68454.780000000028</v>
      </c>
      <c r="O75" s="200">
        <f t="shared" ref="O75:Q75" si="79">E76</f>
        <v>-179461.03269261366</v>
      </c>
      <c r="P75" s="200">
        <f t="shared" si="79"/>
        <v>-182938.85602724424</v>
      </c>
      <c r="Q75" s="201">
        <f t="shared" si="79"/>
        <v>-144137.76530650433</v>
      </c>
      <c r="R75" s="138"/>
      <c r="S75" s="199">
        <f>N75-I75</f>
        <v>48307.868345454568</v>
      </c>
      <c r="T75" s="200">
        <f t="shared" ref="T75:V75" si="80">O75-J75</f>
        <v>-207463.2740358864</v>
      </c>
      <c r="U75" s="200">
        <f t="shared" si="80"/>
        <v>-207635.09805156069</v>
      </c>
      <c r="V75" s="232">
        <f t="shared" si="80"/>
        <v>-161769.87257471052</v>
      </c>
      <c r="W75" s="235"/>
    </row>
    <row r="76" spans="2:23" ht="12.75" customHeight="1" thickTop="1" x14ac:dyDescent="0.35">
      <c r="B76" s="98"/>
      <c r="C76" s="100" t="s">
        <v>224</v>
      </c>
      <c r="D76" s="113">
        <f>D46-D74</f>
        <v>68454.780000000028</v>
      </c>
      <c r="E76" s="135">
        <f>E46-E74</f>
        <v>-179461.03269261366</v>
      </c>
      <c r="F76" s="135">
        <f>F46-F74</f>
        <v>-182938.85602724424</v>
      </c>
      <c r="G76" s="135">
        <f>G46-G74</f>
        <v>-144137.76530650433</v>
      </c>
      <c r="H76" s="106"/>
      <c r="I76" s="138"/>
      <c r="J76" s="138"/>
      <c r="K76" s="138"/>
      <c r="L76" s="138"/>
      <c r="M76" s="138"/>
      <c r="N76" s="138"/>
      <c r="O76" s="138"/>
      <c r="P76" s="138"/>
      <c r="Q76" s="138"/>
      <c r="R76" s="138"/>
      <c r="S76" s="138"/>
      <c r="T76" s="138"/>
      <c r="U76" s="138"/>
      <c r="V76" s="138"/>
    </row>
    <row r="77" spans="2:23" ht="12.75" customHeight="1" x14ac:dyDescent="0.35">
      <c r="I77" s="138"/>
      <c r="J77" s="138"/>
      <c r="K77" s="138"/>
      <c r="L77" s="138"/>
      <c r="M77" s="138"/>
      <c r="N77" s="138"/>
      <c r="O77" s="138"/>
      <c r="P77" s="138"/>
      <c r="Q77" s="138"/>
      <c r="R77" s="138"/>
      <c r="S77" s="138"/>
      <c r="T77" s="138"/>
      <c r="U77" s="138"/>
      <c r="V77" s="138"/>
    </row>
    <row r="78" spans="2:23" ht="16.5" customHeight="1" x14ac:dyDescent="0.35"/>
    <row r="79" spans="2:23" ht="12.75" customHeight="1" x14ac:dyDescent="0.35">
      <c r="C79" s="78"/>
      <c r="D79" s="47">
        <v>43983</v>
      </c>
      <c r="E79" s="46">
        <v>44348</v>
      </c>
      <c r="F79" s="46">
        <v>44713</v>
      </c>
      <c r="G79" s="46">
        <v>45078</v>
      </c>
    </row>
    <row r="80" spans="2:23" ht="12.75" customHeight="1" x14ac:dyDescent="0.35">
      <c r="B80" s="31"/>
      <c r="C80" s="79"/>
      <c r="D80" s="9" t="s">
        <v>132</v>
      </c>
      <c r="E80" s="44" t="s">
        <v>132</v>
      </c>
      <c r="F80" s="9" t="s">
        <v>132</v>
      </c>
      <c r="G80" s="9" t="s">
        <v>132</v>
      </c>
    </row>
    <row r="81" spans="2:5" ht="12.75" customHeight="1" x14ac:dyDescent="0.35">
      <c r="B81" s="31"/>
      <c r="D81" s="31"/>
      <c r="E81" s="31"/>
    </row>
    <row r="82" spans="2:5" ht="12.75" customHeight="1" x14ac:dyDescent="0.35">
      <c r="B82" s="31"/>
      <c r="D82" s="31"/>
      <c r="E82" s="31"/>
    </row>
    <row r="83" spans="2:5" ht="12.75" customHeight="1" x14ac:dyDescent="0.35">
      <c r="B83" s="26"/>
      <c r="D83" s="31"/>
      <c r="E83" s="31"/>
    </row>
    <row r="84" spans="2:5" ht="27.75" customHeight="1" x14ac:dyDescent="0.35">
      <c r="B84" s="26"/>
      <c r="D84" s="31"/>
      <c r="E84" s="31"/>
    </row>
    <row r="85" spans="2:5" ht="12.75" customHeight="1" x14ac:dyDescent="0.35">
      <c r="B85" s="54"/>
      <c r="D85" s="31"/>
      <c r="E85" s="31"/>
    </row>
    <row r="86" spans="2:5" ht="12.75" customHeight="1" x14ac:dyDescent="0.35">
      <c r="B86" s="54"/>
      <c r="D86" s="31"/>
      <c r="E86" s="31"/>
    </row>
    <row r="87" spans="2:5" ht="12.75" customHeight="1" x14ac:dyDescent="0.35">
      <c r="B87" s="55"/>
      <c r="D87" s="31"/>
      <c r="E87" s="31"/>
    </row>
    <row r="88" spans="2:5" ht="12.75" customHeight="1" x14ac:dyDescent="0.35">
      <c r="B88" s="54"/>
      <c r="D88" s="31"/>
      <c r="E88" s="31"/>
    </row>
    <row r="89" spans="2:5" ht="12.75" customHeight="1" x14ac:dyDescent="0.35">
      <c r="B89" s="54"/>
      <c r="D89" s="31"/>
      <c r="E89" s="31"/>
    </row>
    <row r="90" spans="2:5" ht="12.75" customHeight="1" x14ac:dyDescent="0.35">
      <c r="B90" s="55"/>
      <c r="D90" s="31"/>
      <c r="E90" s="31"/>
    </row>
    <row r="91" spans="2:5" ht="12.75" customHeight="1" x14ac:dyDescent="0.35">
      <c r="B91" s="55"/>
      <c r="D91" s="31"/>
      <c r="E91" s="31"/>
    </row>
    <row r="92" spans="2:5" ht="12.75" customHeight="1" x14ac:dyDescent="0.35">
      <c r="B92" s="54"/>
      <c r="D92" s="31"/>
      <c r="E92" s="31"/>
    </row>
    <row r="93" spans="2:5" ht="12.75" customHeight="1" x14ac:dyDescent="0.35">
      <c r="B93" s="54"/>
      <c r="D93" s="31"/>
      <c r="E93" s="31"/>
    </row>
    <row r="94" spans="2:5" ht="12.75" customHeight="1" x14ac:dyDescent="0.35">
      <c r="B94" s="54"/>
      <c r="D94" s="31"/>
      <c r="E94" s="31"/>
    </row>
    <row r="95" spans="2:5" ht="12.75" customHeight="1" x14ac:dyDescent="0.35">
      <c r="B95" s="54"/>
      <c r="D95" s="31"/>
      <c r="E95" s="31"/>
    </row>
    <row r="96" spans="2:5" ht="12.75" customHeight="1" x14ac:dyDescent="0.35">
      <c r="B96" s="54"/>
      <c r="D96" s="31"/>
      <c r="E96" s="31"/>
    </row>
    <row r="97" spans="2:5" ht="12.75" customHeight="1" x14ac:dyDescent="0.35">
      <c r="B97" s="54"/>
      <c r="D97" s="31"/>
      <c r="E97" s="31"/>
    </row>
    <row r="98" spans="2:5" ht="12.75" customHeight="1" x14ac:dyDescent="0.35">
      <c r="B98" s="55"/>
      <c r="D98" s="31"/>
      <c r="E98" s="31"/>
    </row>
    <row r="99" spans="2:5" ht="12.75" customHeight="1" x14ac:dyDescent="0.35">
      <c r="B99" s="54"/>
      <c r="D99" s="31"/>
      <c r="E99" s="31"/>
    </row>
    <row r="100" spans="2:5" ht="12.75" customHeight="1" x14ac:dyDescent="0.35">
      <c r="B100" s="55"/>
      <c r="D100" s="31"/>
      <c r="E100" s="31"/>
    </row>
    <row r="101" spans="2:5" ht="12.75" customHeight="1" x14ac:dyDescent="0.35">
      <c r="B101" s="55"/>
      <c r="D101" s="31"/>
      <c r="E101" s="31"/>
    </row>
    <row r="102" spans="2:5" ht="12.75" customHeight="1" x14ac:dyDescent="0.35">
      <c r="B102" s="54"/>
      <c r="D102" s="31"/>
      <c r="E102" s="31"/>
    </row>
    <row r="103" spans="2:5" ht="12.75" customHeight="1" x14ac:dyDescent="0.35">
      <c r="B103" s="55"/>
      <c r="D103" s="31"/>
      <c r="E103" s="31"/>
    </row>
    <row r="104" spans="2:5" ht="12.75" customHeight="1" x14ac:dyDescent="0.35">
      <c r="B104" s="54"/>
      <c r="D104" s="31"/>
      <c r="E104" s="31"/>
    </row>
    <row r="105" spans="2:5" ht="12.75" customHeight="1" x14ac:dyDescent="0.35">
      <c r="B105" s="54"/>
      <c r="D105" s="31"/>
      <c r="E105" s="31"/>
    </row>
    <row r="106" spans="2:5" ht="12.75" customHeight="1" x14ac:dyDescent="0.35">
      <c r="B106" s="54"/>
      <c r="D106" s="31"/>
      <c r="E106" s="31"/>
    </row>
    <row r="107" spans="2:5" ht="12.75" customHeight="1" x14ac:dyDescent="0.35">
      <c r="B107" s="54"/>
      <c r="D107" s="31"/>
      <c r="E107" s="31"/>
    </row>
    <row r="108" spans="2:5" ht="12.75" customHeight="1" x14ac:dyDescent="0.35">
      <c r="B108" s="54"/>
      <c r="D108" s="31"/>
      <c r="E108" s="31"/>
    </row>
    <row r="109" spans="2:5" ht="12.75" customHeight="1" x14ac:dyDescent="0.35">
      <c r="B109" s="54"/>
      <c r="D109" s="31"/>
      <c r="E109" s="31"/>
    </row>
    <row r="110" spans="2:5" ht="12.75" customHeight="1" x14ac:dyDescent="0.35">
      <c r="B110" s="54"/>
      <c r="D110" s="31"/>
      <c r="E110" s="31"/>
    </row>
    <row r="111" spans="2:5" ht="12.75" customHeight="1" x14ac:dyDescent="0.35">
      <c r="B111" s="54"/>
      <c r="D111" s="31"/>
      <c r="E111" s="31"/>
    </row>
    <row r="112" spans="2:5" ht="12.75" customHeight="1" x14ac:dyDescent="0.35">
      <c r="B112" s="54"/>
      <c r="D112" s="31"/>
      <c r="E112" s="31"/>
    </row>
    <row r="113" spans="2:5" ht="12.75" customHeight="1" x14ac:dyDescent="0.35">
      <c r="B113" s="54"/>
      <c r="D113" s="31"/>
      <c r="E113" s="31"/>
    </row>
    <row r="114" spans="2:5" ht="12.75" customHeight="1" x14ac:dyDescent="0.35">
      <c r="B114" s="54"/>
      <c r="D114" s="31"/>
      <c r="E114" s="31"/>
    </row>
    <row r="115" spans="2:5" ht="12.75" customHeight="1" x14ac:dyDescent="0.35">
      <c r="B115" s="54"/>
      <c r="D115" s="31"/>
      <c r="E115" s="31"/>
    </row>
    <row r="116" spans="2:5" ht="12.75" customHeight="1" x14ac:dyDescent="0.35">
      <c r="B116" s="54"/>
      <c r="D116" s="31"/>
      <c r="E116" s="31"/>
    </row>
    <row r="117" spans="2:5" ht="12.75" customHeight="1" x14ac:dyDescent="0.35">
      <c r="B117" s="31"/>
      <c r="D117" s="31"/>
      <c r="E117" s="31"/>
    </row>
    <row r="118" spans="2:5" ht="12.75" customHeight="1" x14ac:dyDescent="0.35">
      <c r="B118" s="31"/>
      <c r="D118" s="31"/>
      <c r="E118" s="31"/>
    </row>
    <row r="119" spans="2:5" ht="12.75" customHeight="1" x14ac:dyDescent="0.35">
      <c r="B119" s="31"/>
      <c r="D119" s="31"/>
      <c r="E119" s="31"/>
    </row>
    <row r="120" spans="2:5" ht="12.75" customHeight="1" x14ac:dyDescent="0.35">
      <c r="B120" s="31"/>
      <c r="D120" s="31"/>
      <c r="E120" s="31"/>
    </row>
    <row r="121" spans="2:5" ht="12.75" customHeight="1" x14ac:dyDescent="0.35">
      <c r="B121" s="31"/>
      <c r="D121" s="31"/>
      <c r="E121" s="31"/>
    </row>
    <row r="122" spans="2:5" ht="12.75" customHeight="1" x14ac:dyDescent="0.35">
      <c r="B122" s="31"/>
      <c r="D122" s="31"/>
      <c r="E122" s="31"/>
    </row>
    <row r="123" spans="2:5" ht="12.75" customHeight="1" x14ac:dyDescent="0.35">
      <c r="B123" s="31"/>
      <c r="D123" s="31"/>
      <c r="E123" s="31"/>
    </row>
    <row r="124" spans="2:5" ht="12.75" customHeight="1" x14ac:dyDescent="0.35">
      <c r="B124" s="31"/>
      <c r="D124" s="31"/>
      <c r="E124" s="31"/>
    </row>
    <row r="125" spans="2:5" ht="12.75" customHeight="1" x14ac:dyDescent="0.35">
      <c r="B125" s="31"/>
      <c r="D125" s="31"/>
      <c r="E125" s="31"/>
    </row>
    <row r="126" spans="2:5" ht="12.75" customHeight="1" x14ac:dyDescent="0.35">
      <c r="B126" s="31"/>
      <c r="D126" s="31"/>
      <c r="E126" s="31"/>
    </row>
    <row r="127" spans="2:5" ht="12.75" customHeight="1" x14ac:dyDescent="0.35">
      <c r="B127" s="31"/>
      <c r="D127" s="31"/>
      <c r="E127" s="31"/>
    </row>
    <row r="128" spans="2:5" ht="12.75" customHeight="1" x14ac:dyDescent="0.35">
      <c r="B128" s="31"/>
      <c r="D128" s="31"/>
      <c r="E128" s="31"/>
    </row>
    <row r="129" spans="2:5" ht="12.75" customHeight="1" x14ac:dyDescent="0.35">
      <c r="B129" s="31"/>
      <c r="D129" s="31"/>
      <c r="E129" s="31"/>
    </row>
    <row r="130" spans="2:5" ht="12.75" customHeight="1" x14ac:dyDescent="0.35">
      <c r="B130" s="31"/>
      <c r="D130" s="31"/>
      <c r="E130" s="31"/>
    </row>
    <row r="131" spans="2:5" ht="12.75" customHeight="1" x14ac:dyDescent="0.35">
      <c r="B131" s="31"/>
      <c r="D131" s="31"/>
      <c r="E131" s="31"/>
    </row>
    <row r="132" spans="2:5" ht="12.75" customHeight="1" x14ac:dyDescent="0.35">
      <c r="B132" s="31"/>
      <c r="D132" s="31"/>
      <c r="E132" s="31"/>
    </row>
    <row r="133" spans="2:5" ht="12.75" customHeight="1" x14ac:dyDescent="0.35">
      <c r="B133" s="31"/>
      <c r="D133" s="31"/>
      <c r="E133" s="31"/>
    </row>
    <row r="134" spans="2:5" ht="12.75" customHeight="1" x14ac:dyDescent="0.35">
      <c r="B134" s="31"/>
      <c r="D134" s="31"/>
      <c r="E134" s="31"/>
    </row>
    <row r="135" spans="2:5" ht="12.75" customHeight="1" x14ac:dyDescent="0.35">
      <c r="B135" s="31"/>
      <c r="D135" s="31"/>
      <c r="E135" s="31"/>
    </row>
    <row r="136" spans="2:5" ht="12.75" customHeight="1" x14ac:dyDescent="0.35">
      <c r="B136" s="31"/>
      <c r="D136" s="31"/>
      <c r="E136" s="31"/>
    </row>
    <row r="137" spans="2:5" ht="12.75" customHeight="1" x14ac:dyDescent="0.35">
      <c r="B137" s="31"/>
      <c r="D137" s="31"/>
      <c r="E137" s="31"/>
    </row>
    <row r="138" spans="2:5" ht="12.75" customHeight="1" x14ac:dyDescent="0.35">
      <c r="B138" s="31"/>
      <c r="D138" s="31"/>
      <c r="E138" s="31"/>
    </row>
    <row r="139" spans="2:5" ht="12.75" customHeight="1" x14ac:dyDescent="0.35">
      <c r="B139" s="31"/>
      <c r="D139" s="31"/>
      <c r="E139" s="31"/>
    </row>
    <row r="140" spans="2:5" ht="12.75" customHeight="1" x14ac:dyDescent="0.35">
      <c r="B140" s="31"/>
      <c r="D140" s="31"/>
      <c r="E140" s="31"/>
    </row>
    <row r="141" spans="2:5" ht="12.75" customHeight="1" x14ac:dyDescent="0.35">
      <c r="B141" s="31"/>
      <c r="D141" s="31"/>
      <c r="E141" s="31"/>
    </row>
    <row r="142" spans="2:5" ht="12.75" customHeight="1" x14ac:dyDescent="0.35">
      <c r="B142" s="31"/>
      <c r="D142" s="31"/>
      <c r="E142" s="31"/>
    </row>
    <row r="143" spans="2:5" ht="12.75" customHeight="1" x14ac:dyDescent="0.35">
      <c r="B143" s="31"/>
      <c r="D143" s="31"/>
      <c r="E143" s="31"/>
    </row>
    <row r="144" spans="2:5" ht="12.75" customHeight="1" x14ac:dyDescent="0.35">
      <c r="B144" s="31"/>
      <c r="D144" s="31"/>
      <c r="E144" s="31"/>
    </row>
    <row r="145" spans="2:5" ht="12.75" customHeight="1" x14ac:dyDescent="0.35">
      <c r="B145" s="31"/>
      <c r="D145" s="31"/>
      <c r="E145" s="31"/>
    </row>
    <row r="146" spans="2:5" ht="12.75" customHeight="1" x14ac:dyDescent="0.35">
      <c r="B146" s="31"/>
      <c r="D146" s="31"/>
      <c r="E146" s="31"/>
    </row>
    <row r="147" spans="2:5" ht="12.75" customHeight="1" x14ac:dyDescent="0.35">
      <c r="B147" s="31"/>
      <c r="D147" s="31"/>
      <c r="E147" s="31"/>
    </row>
    <row r="148" spans="2:5" ht="12.75" customHeight="1" x14ac:dyDescent="0.35">
      <c r="B148" s="31"/>
      <c r="D148" s="31"/>
      <c r="E148" s="31"/>
    </row>
    <row r="149" spans="2:5" ht="12.75" customHeight="1" x14ac:dyDescent="0.35">
      <c r="B149" s="31"/>
      <c r="D149" s="31"/>
      <c r="E149" s="31"/>
    </row>
    <row r="150" spans="2:5" ht="12.75" customHeight="1" x14ac:dyDescent="0.35">
      <c r="B150" s="31"/>
      <c r="D150" s="31"/>
      <c r="E150" s="31"/>
    </row>
    <row r="151" spans="2:5" ht="12.75" customHeight="1" x14ac:dyDescent="0.35">
      <c r="B151" s="31"/>
      <c r="D151" s="31"/>
      <c r="E151" s="31"/>
    </row>
    <row r="152" spans="2:5" ht="12.75" customHeight="1" x14ac:dyDescent="0.35">
      <c r="B152" s="31"/>
      <c r="D152" s="31"/>
      <c r="E152" s="31"/>
    </row>
    <row r="153" spans="2:5" ht="12.75" customHeight="1" x14ac:dyDescent="0.35">
      <c r="B153" s="31"/>
      <c r="D153" s="31"/>
      <c r="E153" s="31"/>
    </row>
    <row r="154" spans="2:5" ht="12.75" customHeight="1" x14ac:dyDescent="0.35">
      <c r="B154" s="31"/>
      <c r="D154" s="31"/>
      <c r="E154" s="31"/>
    </row>
    <row r="155" spans="2:5" ht="12.75" customHeight="1" x14ac:dyDescent="0.35">
      <c r="B155" s="31"/>
      <c r="D155" s="31"/>
      <c r="E155" s="31"/>
    </row>
    <row r="156" spans="2:5" ht="12.75" customHeight="1" x14ac:dyDescent="0.35">
      <c r="B156" s="31"/>
      <c r="D156" s="31"/>
      <c r="E156" s="31"/>
    </row>
    <row r="157" spans="2:5" ht="12.75" customHeight="1" x14ac:dyDescent="0.35">
      <c r="B157" s="31"/>
      <c r="D157" s="31"/>
      <c r="E157" s="31"/>
    </row>
    <row r="158" spans="2:5" ht="12.75" customHeight="1" x14ac:dyDescent="0.35">
      <c r="B158" s="31"/>
      <c r="D158" s="31"/>
      <c r="E158" s="31"/>
    </row>
    <row r="159" spans="2:5" ht="12.75" customHeight="1" x14ac:dyDescent="0.35">
      <c r="B159" s="31"/>
      <c r="D159" s="31"/>
      <c r="E159" s="31"/>
    </row>
    <row r="160" spans="2:5" ht="12.75" customHeight="1" x14ac:dyDescent="0.35">
      <c r="B160" s="31"/>
      <c r="D160" s="31"/>
      <c r="E160" s="31"/>
    </row>
    <row r="161" spans="2:5" ht="12.75" customHeight="1" x14ac:dyDescent="0.35">
      <c r="B161" s="31"/>
      <c r="D161" s="31"/>
      <c r="E161" s="31"/>
    </row>
    <row r="162" spans="2:5" ht="12.75" customHeight="1" x14ac:dyDescent="0.35">
      <c r="B162" s="31"/>
      <c r="D162" s="31"/>
      <c r="E162" s="31"/>
    </row>
    <row r="163" spans="2:5" ht="12.75" customHeight="1" x14ac:dyDescent="0.35">
      <c r="B163" s="31"/>
      <c r="D163" s="31"/>
      <c r="E163" s="31"/>
    </row>
    <row r="164" spans="2:5" ht="12.75" customHeight="1" x14ac:dyDescent="0.35">
      <c r="B164" s="31"/>
      <c r="D164" s="31"/>
      <c r="E164" s="31"/>
    </row>
    <row r="165" spans="2:5" ht="12.75" customHeight="1" x14ac:dyDescent="0.35">
      <c r="B165" s="31"/>
      <c r="D165" s="31"/>
      <c r="E165" s="31"/>
    </row>
    <row r="166" spans="2:5" ht="12.75" customHeight="1" x14ac:dyDescent="0.35">
      <c r="B166" s="31"/>
      <c r="D166" s="31"/>
      <c r="E166" s="31"/>
    </row>
    <row r="167" spans="2:5" ht="12.75" customHeight="1" x14ac:dyDescent="0.35">
      <c r="B167" s="31"/>
      <c r="D167" s="31"/>
      <c r="E167" s="31"/>
    </row>
    <row r="168" spans="2:5" ht="12.75" customHeight="1" x14ac:dyDescent="0.35">
      <c r="B168" s="31"/>
      <c r="D168" s="31"/>
      <c r="E168" s="31"/>
    </row>
    <row r="169" spans="2:5" ht="12.75" customHeight="1" x14ac:dyDescent="0.35">
      <c r="B169" s="31"/>
      <c r="D169" s="31"/>
      <c r="E169" s="31"/>
    </row>
    <row r="170" spans="2:5" ht="12.75" customHeight="1" x14ac:dyDescent="0.35">
      <c r="B170" s="31"/>
      <c r="D170" s="31"/>
      <c r="E170" s="31"/>
    </row>
    <row r="171" spans="2:5" ht="12.75" customHeight="1" x14ac:dyDescent="0.35">
      <c r="B171" s="31"/>
      <c r="D171" s="31"/>
      <c r="E171" s="31"/>
    </row>
    <row r="172" spans="2:5" ht="12.75" customHeight="1" x14ac:dyDescent="0.35">
      <c r="B172" s="31"/>
      <c r="D172" s="31"/>
      <c r="E172" s="31"/>
    </row>
    <row r="173" spans="2:5" ht="12.75" customHeight="1" x14ac:dyDescent="0.35">
      <c r="B173" s="31"/>
      <c r="D173" s="31"/>
      <c r="E173" s="31"/>
    </row>
    <row r="174" spans="2:5" ht="12.75" customHeight="1" x14ac:dyDescent="0.35">
      <c r="B174" s="31"/>
      <c r="D174" s="31"/>
      <c r="E174" s="31"/>
    </row>
    <row r="175" spans="2:5" ht="12.75" customHeight="1" x14ac:dyDescent="0.35">
      <c r="B175" s="31"/>
      <c r="D175" s="31"/>
      <c r="E175" s="31"/>
    </row>
    <row r="176" spans="2:5" ht="12.75" customHeight="1" x14ac:dyDescent="0.35">
      <c r="B176" s="31"/>
      <c r="D176" s="31"/>
      <c r="E176" s="31"/>
    </row>
    <row r="177" spans="2:5" ht="12.75" customHeight="1" x14ac:dyDescent="0.35">
      <c r="B177" s="31"/>
      <c r="D177" s="31"/>
      <c r="E177" s="31"/>
    </row>
    <row r="178" spans="2:5" ht="12.75" customHeight="1" x14ac:dyDescent="0.35">
      <c r="B178" s="31"/>
      <c r="D178" s="31"/>
      <c r="E178" s="31"/>
    </row>
    <row r="179" spans="2:5" ht="12.75" customHeight="1" x14ac:dyDescent="0.35">
      <c r="B179" s="31"/>
      <c r="D179" s="31"/>
      <c r="E179" s="31"/>
    </row>
    <row r="180" spans="2:5" ht="12.75" customHeight="1" x14ac:dyDescent="0.35">
      <c r="B180" s="31"/>
      <c r="D180" s="31"/>
      <c r="E180" s="31"/>
    </row>
    <row r="181" spans="2:5" ht="12.75" customHeight="1" x14ac:dyDescent="0.35">
      <c r="B181" s="31"/>
      <c r="D181" s="31"/>
      <c r="E181" s="31"/>
    </row>
    <row r="182" spans="2:5" ht="12.75" customHeight="1" x14ac:dyDescent="0.35">
      <c r="B182" s="31"/>
      <c r="D182" s="31"/>
      <c r="E182" s="31"/>
    </row>
    <row r="183" spans="2:5" ht="12.75" customHeight="1" x14ac:dyDescent="0.35">
      <c r="B183" s="31"/>
      <c r="D183" s="31"/>
      <c r="E183" s="31"/>
    </row>
    <row r="184" spans="2:5" ht="12.75" customHeight="1" x14ac:dyDescent="0.35">
      <c r="B184" s="31"/>
      <c r="D184" s="31"/>
      <c r="E184" s="31"/>
    </row>
    <row r="185" spans="2:5" ht="12.75" customHeight="1" x14ac:dyDescent="0.35">
      <c r="B185" s="31"/>
      <c r="D185" s="31"/>
      <c r="E185" s="31"/>
    </row>
    <row r="186" spans="2:5" ht="12.75" customHeight="1" x14ac:dyDescent="0.35">
      <c r="B186" s="31"/>
      <c r="D186" s="31"/>
      <c r="E186" s="31"/>
    </row>
    <row r="187" spans="2:5" ht="12.75" customHeight="1" x14ac:dyDescent="0.35">
      <c r="B187" s="31"/>
      <c r="D187" s="31"/>
      <c r="E187" s="31"/>
    </row>
    <row r="188" spans="2:5" ht="12.75" customHeight="1" x14ac:dyDescent="0.35">
      <c r="B188" s="31"/>
      <c r="D188" s="31"/>
      <c r="E188" s="31"/>
    </row>
    <row r="189" spans="2:5" ht="12.75" customHeight="1" x14ac:dyDescent="0.35">
      <c r="B189" s="31"/>
      <c r="D189" s="31"/>
      <c r="E189" s="31"/>
    </row>
    <row r="190" spans="2:5" ht="12.75" customHeight="1" x14ac:dyDescent="0.35">
      <c r="B190" s="31"/>
      <c r="D190" s="31"/>
      <c r="E190" s="31"/>
    </row>
    <row r="191" spans="2:5" ht="12.75" customHeight="1" x14ac:dyDescent="0.35">
      <c r="B191" s="31"/>
      <c r="D191" s="31"/>
      <c r="E191" s="31"/>
    </row>
    <row r="192" spans="2:5" ht="12.75" customHeight="1" x14ac:dyDescent="0.35">
      <c r="B192" s="31"/>
      <c r="D192" s="31"/>
      <c r="E192" s="31"/>
    </row>
    <row r="193" spans="2:5" ht="12.75" customHeight="1" x14ac:dyDescent="0.35">
      <c r="B193" s="31"/>
      <c r="D193" s="31"/>
      <c r="E193" s="31"/>
    </row>
    <row r="194" spans="2:5" ht="12.75" customHeight="1" x14ac:dyDescent="0.35">
      <c r="B194" s="31"/>
      <c r="D194" s="31"/>
      <c r="E194" s="31"/>
    </row>
    <row r="195" spans="2:5" ht="12.75" customHeight="1" x14ac:dyDescent="0.35">
      <c r="B195" s="31"/>
      <c r="D195" s="31"/>
      <c r="E195" s="31"/>
    </row>
    <row r="196" spans="2:5" ht="12.75" customHeight="1" x14ac:dyDescent="0.35">
      <c r="B196" s="31"/>
      <c r="D196" s="31"/>
      <c r="E196" s="31"/>
    </row>
    <row r="197" spans="2:5" ht="12.75" customHeight="1" x14ac:dyDescent="0.35">
      <c r="B197" s="31"/>
      <c r="D197" s="31"/>
      <c r="E197" s="31"/>
    </row>
    <row r="198" spans="2:5" ht="12.75" customHeight="1" x14ac:dyDescent="0.35">
      <c r="B198" s="31"/>
      <c r="D198" s="31"/>
      <c r="E198" s="31"/>
    </row>
    <row r="199" spans="2:5" ht="12.75" customHeight="1" x14ac:dyDescent="0.35">
      <c r="B199" s="31"/>
      <c r="D199" s="31"/>
      <c r="E199" s="31"/>
    </row>
    <row r="200" spans="2:5" ht="12.75" customHeight="1" x14ac:dyDescent="0.35">
      <c r="B200" s="31"/>
      <c r="D200" s="31"/>
      <c r="E200" s="31"/>
    </row>
    <row r="201" spans="2:5" ht="12.75" customHeight="1" x14ac:dyDescent="0.35">
      <c r="B201" s="31"/>
      <c r="D201" s="31"/>
      <c r="E201" s="31"/>
    </row>
    <row r="202" spans="2:5" ht="12.75" customHeight="1" x14ac:dyDescent="0.35">
      <c r="B202" s="31"/>
      <c r="D202" s="31"/>
      <c r="E202" s="31"/>
    </row>
    <row r="203" spans="2:5" ht="12.75" customHeight="1" x14ac:dyDescent="0.35">
      <c r="B203" s="31"/>
      <c r="D203" s="31"/>
      <c r="E203" s="31"/>
    </row>
    <row r="204" spans="2:5" ht="12.75" customHeight="1" x14ac:dyDescent="0.35">
      <c r="B204" s="31"/>
      <c r="D204" s="31"/>
      <c r="E204" s="31"/>
    </row>
    <row r="205" spans="2:5" ht="12.75" customHeight="1" x14ac:dyDescent="0.35">
      <c r="B205" s="31"/>
      <c r="D205" s="31"/>
      <c r="E205" s="31"/>
    </row>
    <row r="206" spans="2:5" ht="12.75" customHeight="1" x14ac:dyDescent="0.35">
      <c r="B206" s="31"/>
      <c r="D206" s="31"/>
      <c r="E206" s="31"/>
    </row>
    <row r="207" spans="2:5" ht="12.75" customHeight="1" x14ac:dyDescent="0.35">
      <c r="B207" s="31"/>
      <c r="D207" s="31"/>
      <c r="E207" s="31"/>
    </row>
    <row r="208" spans="2:5" ht="12.75" customHeight="1" x14ac:dyDescent="0.35">
      <c r="B208" s="31"/>
      <c r="D208" s="31"/>
      <c r="E208" s="31"/>
    </row>
    <row r="209" spans="2:5" ht="12.75" customHeight="1" x14ac:dyDescent="0.35">
      <c r="B209" s="31"/>
      <c r="D209" s="31"/>
      <c r="E209" s="31"/>
    </row>
    <row r="210" spans="2:5" ht="12.75" customHeight="1" x14ac:dyDescent="0.35">
      <c r="B210" s="31"/>
      <c r="D210" s="31"/>
      <c r="E210" s="31"/>
    </row>
    <row r="211" spans="2:5" ht="12.75" customHeight="1" x14ac:dyDescent="0.35">
      <c r="B211" s="31"/>
      <c r="D211" s="31"/>
      <c r="E211" s="31"/>
    </row>
    <row r="212" spans="2:5" ht="12.75" customHeight="1" x14ac:dyDescent="0.35">
      <c r="B212" s="31"/>
      <c r="D212" s="31"/>
      <c r="E212" s="31"/>
    </row>
    <row r="213" spans="2:5" ht="12.75" customHeight="1" x14ac:dyDescent="0.35">
      <c r="B213" s="31"/>
      <c r="D213" s="31"/>
      <c r="E213" s="31"/>
    </row>
    <row r="214" spans="2:5" ht="12.75" customHeight="1" x14ac:dyDescent="0.35">
      <c r="B214" s="31"/>
      <c r="D214" s="31"/>
      <c r="E214" s="31"/>
    </row>
    <row r="215" spans="2:5" ht="12.75" customHeight="1" x14ac:dyDescent="0.35">
      <c r="B215" s="31"/>
      <c r="D215" s="31"/>
      <c r="E215" s="31"/>
    </row>
    <row r="216" spans="2:5" ht="12.75" customHeight="1" x14ac:dyDescent="0.35">
      <c r="B216" s="31"/>
      <c r="D216" s="31"/>
      <c r="E216" s="31"/>
    </row>
    <row r="217" spans="2:5" ht="12.75" customHeight="1" x14ac:dyDescent="0.35">
      <c r="B217" s="31"/>
      <c r="D217" s="31"/>
      <c r="E217" s="31"/>
    </row>
    <row r="218" spans="2:5" ht="12.75" customHeight="1" x14ac:dyDescent="0.35">
      <c r="B218" s="31"/>
      <c r="D218" s="31"/>
      <c r="E218" s="31"/>
    </row>
    <row r="219" spans="2:5" ht="12.75" customHeight="1" x14ac:dyDescent="0.35">
      <c r="B219" s="31"/>
      <c r="D219" s="31"/>
      <c r="E219" s="31"/>
    </row>
    <row r="220" spans="2:5" ht="12.75" customHeight="1" x14ac:dyDescent="0.35">
      <c r="B220" s="31"/>
      <c r="D220" s="31"/>
      <c r="E220" s="31"/>
    </row>
    <row r="221" spans="2:5" ht="12.75" customHeight="1" x14ac:dyDescent="0.35">
      <c r="B221" s="31"/>
      <c r="D221" s="31"/>
      <c r="E221" s="31"/>
    </row>
    <row r="222" spans="2:5" ht="12.75" customHeight="1" x14ac:dyDescent="0.35">
      <c r="B222" s="31"/>
      <c r="D222" s="31"/>
      <c r="E222" s="31"/>
    </row>
    <row r="223" spans="2:5" ht="12.75" customHeight="1" x14ac:dyDescent="0.35">
      <c r="B223" s="31"/>
      <c r="D223" s="31"/>
      <c r="E223" s="31"/>
    </row>
    <row r="224" spans="2:5" ht="12.75" customHeight="1" x14ac:dyDescent="0.35">
      <c r="B224" s="31"/>
      <c r="D224" s="31"/>
      <c r="E224" s="31"/>
    </row>
    <row r="225" spans="2:5" ht="12.75" customHeight="1" x14ac:dyDescent="0.35">
      <c r="B225" s="31"/>
      <c r="D225" s="31"/>
      <c r="E225" s="31"/>
    </row>
    <row r="226" spans="2:5" ht="12.75" customHeight="1" x14ac:dyDescent="0.35">
      <c r="B226" s="31"/>
      <c r="D226" s="31"/>
      <c r="E226" s="31"/>
    </row>
    <row r="227" spans="2:5" ht="12.75" customHeight="1" x14ac:dyDescent="0.35">
      <c r="B227" s="31"/>
      <c r="D227" s="31"/>
      <c r="E227" s="31"/>
    </row>
    <row r="228" spans="2:5" ht="12.75" customHeight="1" x14ac:dyDescent="0.35">
      <c r="B228" s="31"/>
      <c r="D228" s="31"/>
      <c r="E228" s="31"/>
    </row>
    <row r="229" spans="2:5" ht="12.75" customHeight="1" x14ac:dyDescent="0.35">
      <c r="B229" s="31"/>
      <c r="D229" s="31"/>
      <c r="E229" s="31"/>
    </row>
    <row r="230" spans="2:5" ht="12.75" customHeight="1" x14ac:dyDescent="0.35">
      <c r="B230" s="31"/>
      <c r="D230" s="31"/>
      <c r="E230" s="31"/>
    </row>
    <row r="231" spans="2:5" ht="12.75" customHeight="1" x14ac:dyDescent="0.35">
      <c r="B231" s="31"/>
      <c r="D231" s="31"/>
      <c r="E231" s="31"/>
    </row>
    <row r="232" spans="2:5" ht="12.75" customHeight="1" x14ac:dyDescent="0.35">
      <c r="B232" s="31"/>
      <c r="D232" s="31"/>
      <c r="E232" s="31"/>
    </row>
    <row r="233" spans="2:5" ht="12.75" customHeight="1" x14ac:dyDescent="0.35">
      <c r="B233" s="31"/>
      <c r="D233" s="31"/>
      <c r="E233" s="31"/>
    </row>
    <row r="234" spans="2:5" ht="12.75" customHeight="1" x14ac:dyDescent="0.35">
      <c r="B234" s="31"/>
      <c r="D234" s="31"/>
      <c r="E234" s="31"/>
    </row>
    <row r="235" spans="2:5" ht="12.75" customHeight="1" x14ac:dyDescent="0.35">
      <c r="B235" s="31"/>
      <c r="D235" s="31"/>
      <c r="E235" s="31"/>
    </row>
    <row r="236" spans="2:5" ht="12.75" customHeight="1" x14ac:dyDescent="0.35">
      <c r="B236" s="31"/>
      <c r="D236" s="31"/>
      <c r="E236" s="31"/>
    </row>
    <row r="237" spans="2:5" ht="12.75" customHeight="1" x14ac:dyDescent="0.35">
      <c r="B237" s="31"/>
      <c r="D237" s="31"/>
      <c r="E237" s="31"/>
    </row>
    <row r="238" spans="2:5" ht="12.75" customHeight="1" x14ac:dyDescent="0.35">
      <c r="B238" s="31"/>
      <c r="D238" s="31"/>
      <c r="E238" s="31"/>
    </row>
    <row r="239" spans="2:5" ht="12.75" customHeight="1" x14ac:dyDescent="0.35">
      <c r="B239" s="31"/>
      <c r="D239" s="31"/>
      <c r="E239" s="31"/>
    </row>
    <row r="240" spans="2:5" ht="12.75" customHeight="1" x14ac:dyDescent="0.35">
      <c r="B240" s="31"/>
      <c r="D240" s="31"/>
      <c r="E240" s="31"/>
    </row>
    <row r="241" spans="2:5" ht="12.75" customHeight="1" x14ac:dyDescent="0.35">
      <c r="B241" s="31"/>
      <c r="D241" s="31"/>
      <c r="E241" s="31"/>
    </row>
    <row r="242" spans="2:5" ht="12.75" customHeight="1" x14ac:dyDescent="0.35">
      <c r="B242" s="31"/>
      <c r="D242" s="31"/>
      <c r="E242" s="31"/>
    </row>
    <row r="243" spans="2:5" ht="12.75" customHeight="1" x14ac:dyDescent="0.35">
      <c r="B243" s="31"/>
      <c r="D243" s="31"/>
      <c r="E243" s="31"/>
    </row>
    <row r="244" spans="2:5" ht="12.75" customHeight="1" x14ac:dyDescent="0.35">
      <c r="B244" s="31"/>
      <c r="D244" s="31"/>
      <c r="E244" s="31"/>
    </row>
    <row r="245" spans="2:5" ht="12.75" customHeight="1" x14ac:dyDescent="0.35">
      <c r="B245" s="31"/>
      <c r="D245" s="31"/>
      <c r="E245" s="31"/>
    </row>
    <row r="246" spans="2:5" ht="12.75" customHeight="1" x14ac:dyDescent="0.35">
      <c r="B246" s="31"/>
      <c r="D246" s="31"/>
      <c r="E246" s="31"/>
    </row>
    <row r="247" spans="2:5" ht="12.75" customHeight="1" x14ac:dyDescent="0.35">
      <c r="B247" s="31"/>
      <c r="D247" s="31"/>
      <c r="E247" s="31"/>
    </row>
    <row r="248" spans="2:5" ht="12.75" customHeight="1" x14ac:dyDescent="0.35">
      <c r="B248" s="31"/>
      <c r="D248" s="31"/>
      <c r="E248" s="31"/>
    </row>
    <row r="249" spans="2:5" ht="12.75" customHeight="1" x14ac:dyDescent="0.35">
      <c r="B249" s="31"/>
      <c r="D249" s="31"/>
      <c r="E249" s="31"/>
    </row>
    <row r="250" spans="2:5" ht="12.75" customHeight="1" x14ac:dyDescent="0.35">
      <c r="B250" s="31"/>
      <c r="D250" s="31"/>
      <c r="E250" s="31"/>
    </row>
    <row r="251" spans="2:5" ht="12.75" customHeight="1" x14ac:dyDescent="0.35">
      <c r="B251" s="31"/>
      <c r="D251" s="31"/>
      <c r="E251" s="31"/>
    </row>
    <row r="252" spans="2:5" ht="12.75" customHeight="1" x14ac:dyDescent="0.35">
      <c r="B252" s="31"/>
      <c r="D252" s="31"/>
      <c r="E252" s="31"/>
    </row>
    <row r="253" spans="2:5" ht="12.75" customHeight="1" x14ac:dyDescent="0.35">
      <c r="B253" s="31"/>
      <c r="D253" s="31"/>
      <c r="E253" s="31"/>
    </row>
    <row r="254" spans="2:5" ht="12.75" customHeight="1" x14ac:dyDescent="0.35">
      <c r="B254" s="31"/>
      <c r="D254" s="31"/>
      <c r="E254" s="31"/>
    </row>
    <row r="255" spans="2:5" ht="12.75" customHeight="1" x14ac:dyDescent="0.35">
      <c r="B255" s="31"/>
      <c r="D255" s="31"/>
      <c r="E255" s="31"/>
    </row>
    <row r="256" spans="2:5" ht="12.75" customHeight="1" x14ac:dyDescent="0.35">
      <c r="B256" s="31"/>
      <c r="D256" s="31"/>
      <c r="E256" s="31"/>
    </row>
    <row r="257" spans="2:5" ht="12.75" customHeight="1" x14ac:dyDescent="0.35">
      <c r="B257" s="31"/>
      <c r="D257" s="31"/>
      <c r="E257" s="31"/>
    </row>
    <row r="258" spans="2:5" ht="12.75" customHeight="1" x14ac:dyDescent="0.35">
      <c r="B258" s="31"/>
      <c r="D258" s="31"/>
      <c r="E258" s="31"/>
    </row>
    <row r="259" spans="2:5" ht="12.75" customHeight="1" x14ac:dyDescent="0.35">
      <c r="B259" s="31"/>
      <c r="D259" s="31"/>
      <c r="E259" s="31"/>
    </row>
    <row r="260" spans="2:5" ht="12.75" customHeight="1" x14ac:dyDescent="0.35">
      <c r="B260" s="31"/>
      <c r="D260" s="31"/>
      <c r="E260" s="31"/>
    </row>
    <row r="261" spans="2:5" ht="12.75" customHeight="1" x14ac:dyDescent="0.35">
      <c r="B261" s="31"/>
      <c r="D261" s="31"/>
      <c r="E261" s="31"/>
    </row>
    <row r="262" spans="2:5" ht="12.75" customHeight="1" x14ac:dyDescent="0.35">
      <c r="B262" s="31"/>
      <c r="D262" s="31"/>
      <c r="E262" s="31"/>
    </row>
    <row r="263" spans="2:5" ht="12.75" customHeight="1" x14ac:dyDescent="0.35">
      <c r="B263" s="31"/>
      <c r="D263" s="31"/>
      <c r="E263" s="31"/>
    </row>
    <row r="264" spans="2:5" ht="12.75" customHeight="1" x14ac:dyDescent="0.35">
      <c r="B264" s="31"/>
      <c r="D264" s="31"/>
      <c r="E264" s="31"/>
    </row>
    <row r="265" spans="2:5" ht="12.75" customHeight="1" x14ac:dyDescent="0.35">
      <c r="B265" s="31"/>
      <c r="D265" s="31"/>
      <c r="E265" s="31"/>
    </row>
    <row r="266" spans="2:5" ht="12.75" customHeight="1" x14ac:dyDescent="0.35">
      <c r="B266" s="31"/>
      <c r="D266" s="31"/>
      <c r="E266" s="31"/>
    </row>
    <row r="267" spans="2:5" ht="12.75" customHeight="1" x14ac:dyDescent="0.35">
      <c r="B267" s="31"/>
      <c r="D267" s="31"/>
      <c r="E267" s="31"/>
    </row>
    <row r="268" spans="2:5" ht="12.75" customHeight="1" x14ac:dyDescent="0.35">
      <c r="B268" s="31"/>
      <c r="D268" s="31"/>
      <c r="E268" s="31"/>
    </row>
    <row r="269" spans="2:5" ht="12.75" customHeight="1" x14ac:dyDescent="0.35">
      <c r="B269" s="31"/>
      <c r="D269" s="31"/>
      <c r="E269" s="31"/>
    </row>
    <row r="270" spans="2:5" ht="12.75" customHeight="1" x14ac:dyDescent="0.35">
      <c r="B270" s="31"/>
      <c r="D270" s="31"/>
      <c r="E270" s="31"/>
    </row>
    <row r="271" spans="2:5" ht="12.75" customHeight="1" x14ac:dyDescent="0.35">
      <c r="B271" s="31"/>
      <c r="D271" s="31"/>
      <c r="E271" s="31"/>
    </row>
    <row r="272" spans="2:5" ht="12.75" customHeight="1" x14ac:dyDescent="0.35">
      <c r="B272" s="31"/>
      <c r="D272" s="31"/>
      <c r="E272" s="31"/>
    </row>
    <row r="273" spans="2:5" ht="12.75" customHeight="1" x14ac:dyDescent="0.35">
      <c r="B273" s="31"/>
      <c r="D273" s="31"/>
      <c r="E273" s="31"/>
    </row>
    <row r="274" spans="2:5" ht="12.75" customHeight="1" x14ac:dyDescent="0.35">
      <c r="B274" s="31"/>
      <c r="D274" s="31"/>
      <c r="E274" s="31"/>
    </row>
    <row r="275" spans="2:5" ht="12.75" customHeight="1" x14ac:dyDescent="0.35">
      <c r="B275" s="31"/>
      <c r="D275" s="31"/>
      <c r="E275" s="31"/>
    </row>
    <row r="276" spans="2:5" ht="12.75" customHeight="1" x14ac:dyDescent="0.35">
      <c r="B276" s="31"/>
      <c r="D276" s="31"/>
      <c r="E276" s="31"/>
    </row>
    <row r="277" spans="2:5" ht="12.75" customHeight="1" x14ac:dyDescent="0.35">
      <c r="B277" s="31"/>
      <c r="D277" s="31"/>
      <c r="E277" s="31"/>
    </row>
    <row r="278" spans="2:5" ht="12.75" customHeight="1" x14ac:dyDescent="0.35">
      <c r="B278" s="31"/>
      <c r="D278" s="31"/>
      <c r="E278" s="31"/>
    </row>
    <row r="279" spans="2:5" ht="12.75" customHeight="1" x14ac:dyDescent="0.35">
      <c r="B279" s="31"/>
      <c r="D279" s="31"/>
      <c r="E279" s="31"/>
    </row>
    <row r="280" spans="2:5" ht="12.75" customHeight="1" x14ac:dyDescent="0.35">
      <c r="B280" s="31"/>
      <c r="D280" s="31"/>
      <c r="E280" s="31"/>
    </row>
    <row r="281" spans="2:5" ht="12.75" customHeight="1" x14ac:dyDescent="0.35">
      <c r="B281" s="31"/>
      <c r="D281" s="31"/>
      <c r="E281" s="31"/>
    </row>
    <row r="282" spans="2:5" ht="12.75" customHeight="1" x14ac:dyDescent="0.35">
      <c r="B282" s="31"/>
      <c r="D282" s="31"/>
      <c r="E282" s="31"/>
    </row>
    <row r="283" spans="2:5" ht="12.75" customHeight="1" x14ac:dyDescent="0.35">
      <c r="B283" s="31"/>
      <c r="D283" s="31"/>
      <c r="E283" s="31"/>
    </row>
    <row r="284" spans="2:5" ht="12.75" customHeight="1" x14ac:dyDescent="0.35">
      <c r="B284" s="31"/>
      <c r="D284" s="31"/>
      <c r="E284" s="31"/>
    </row>
    <row r="285" spans="2:5" ht="12.75" customHeight="1" x14ac:dyDescent="0.35">
      <c r="B285" s="31"/>
      <c r="D285" s="31"/>
      <c r="E285" s="31"/>
    </row>
    <row r="286" spans="2:5" ht="12.75" customHeight="1" x14ac:dyDescent="0.35">
      <c r="B286" s="31"/>
      <c r="D286" s="31"/>
      <c r="E286" s="31"/>
    </row>
    <row r="287" spans="2:5" ht="12.75" customHeight="1" x14ac:dyDescent="0.35">
      <c r="B287" s="31"/>
      <c r="D287" s="31"/>
      <c r="E287" s="31"/>
    </row>
    <row r="288" spans="2:5" ht="12.75" customHeight="1" x14ac:dyDescent="0.35">
      <c r="B288" s="31"/>
      <c r="D288" s="31"/>
      <c r="E288" s="31"/>
    </row>
    <row r="289" spans="2:5" ht="12.75" customHeight="1" x14ac:dyDescent="0.35">
      <c r="B289" s="31"/>
      <c r="D289" s="31"/>
      <c r="E289" s="31"/>
    </row>
    <row r="290" spans="2:5" ht="12.75" customHeight="1" x14ac:dyDescent="0.35">
      <c r="B290" s="31"/>
      <c r="D290" s="31"/>
      <c r="E290" s="31"/>
    </row>
    <row r="291" spans="2:5" ht="12.75" customHeight="1" x14ac:dyDescent="0.35">
      <c r="B291" s="31"/>
      <c r="D291" s="31"/>
      <c r="E291" s="31"/>
    </row>
    <row r="292" spans="2:5" ht="12.75" customHeight="1" x14ac:dyDescent="0.35">
      <c r="B292" s="31"/>
      <c r="D292" s="31"/>
      <c r="E292" s="31"/>
    </row>
    <row r="293" spans="2:5" ht="12.75" customHeight="1" x14ac:dyDescent="0.35">
      <c r="B293" s="31"/>
      <c r="D293" s="31"/>
      <c r="E293" s="31"/>
    </row>
    <row r="294" spans="2:5" ht="12.75" customHeight="1" x14ac:dyDescent="0.35">
      <c r="B294" s="31"/>
      <c r="D294" s="31"/>
      <c r="E294" s="31"/>
    </row>
    <row r="295" spans="2:5" ht="12.75" customHeight="1" x14ac:dyDescent="0.35">
      <c r="B295" s="31"/>
      <c r="D295" s="31"/>
      <c r="E295" s="31"/>
    </row>
    <row r="296" spans="2:5" ht="12.75" customHeight="1" x14ac:dyDescent="0.35">
      <c r="B296" s="31"/>
      <c r="D296" s="31"/>
      <c r="E296" s="31"/>
    </row>
    <row r="297" spans="2:5" ht="12.75" customHeight="1" x14ac:dyDescent="0.35">
      <c r="B297" s="31"/>
      <c r="D297" s="31"/>
      <c r="E297" s="31"/>
    </row>
    <row r="298" spans="2:5" ht="12.75" customHeight="1" x14ac:dyDescent="0.35">
      <c r="B298" s="31"/>
      <c r="D298" s="31"/>
      <c r="E298" s="31"/>
    </row>
    <row r="299" spans="2:5" ht="12.75" customHeight="1" x14ac:dyDescent="0.35">
      <c r="B299" s="31"/>
      <c r="D299" s="31"/>
      <c r="E299" s="31"/>
    </row>
    <row r="300" spans="2:5" ht="12.75" customHeight="1" x14ac:dyDescent="0.35">
      <c r="B300" s="31"/>
      <c r="D300" s="31"/>
      <c r="E300" s="31"/>
    </row>
    <row r="301" spans="2:5" ht="12.75" customHeight="1" x14ac:dyDescent="0.35">
      <c r="B301" s="31"/>
      <c r="D301" s="31"/>
      <c r="E301" s="31"/>
    </row>
    <row r="302" spans="2:5" ht="12.75" customHeight="1" x14ac:dyDescent="0.35">
      <c r="B302" s="31"/>
      <c r="D302" s="31"/>
      <c r="E302" s="31"/>
    </row>
    <row r="303" spans="2:5" ht="12.75" customHeight="1" x14ac:dyDescent="0.35">
      <c r="B303" s="31"/>
      <c r="D303" s="31"/>
      <c r="E303" s="31"/>
    </row>
  </sheetData>
  <sheetProtection algorithmName="SHA-512" hashValue="+o9O8nDusveOg/Y2Vh7J9171kVtya1Rdx5nZTGaK3fMO2/vLxDz9lxkUVF2jyqqQbIXu7O9Gn6ibFZcsjHDB5w==" saltValue="gYiyh+MSjzcRPOigPjbLOA==" spinCount="100000" sheet="1" objects="1" scenarios="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2577E-69C0-4959-A30E-41876DD453C2}">
  <sheetPr codeName="Sheet16"/>
  <dimension ref="A1:G34"/>
  <sheetViews>
    <sheetView workbookViewId="0">
      <selection activeCell="J24" sqref="J24"/>
    </sheetView>
  </sheetViews>
  <sheetFormatPr defaultRowHeight="12.75" x14ac:dyDescent="0.35"/>
  <cols>
    <col min="1" max="1" width="22.59765625" customWidth="1"/>
    <col min="2" max="2" width="23.6640625" bestFit="1" customWidth="1"/>
    <col min="3" max="3" width="13.265625" bestFit="1" customWidth="1"/>
    <col min="4" max="6" width="13.06640625" bestFit="1" customWidth="1"/>
  </cols>
  <sheetData>
    <row r="1" spans="1:7" ht="17.649999999999999" x14ac:dyDescent="0.35">
      <c r="A1" s="124" t="s">
        <v>232</v>
      </c>
    </row>
    <row r="2" spans="1:7" ht="13.15" x14ac:dyDescent="0.35">
      <c r="E2" s="34"/>
      <c r="F2" s="74"/>
    </row>
    <row r="3" spans="1:7" ht="13.15" x14ac:dyDescent="0.35">
      <c r="D3" s="126" t="s">
        <v>235</v>
      </c>
      <c r="E3" s="127" t="s">
        <v>236</v>
      </c>
      <c r="F3" s="128" t="s">
        <v>237</v>
      </c>
      <c r="G3" s="128" t="s">
        <v>238</v>
      </c>
    </row>
    <row r="4" spans="1:7" ht="13.15" x14ac:dyDescent="0.35">
      <c r="A4" s="120" t="s">
        <v>228</v>
      </c>
      <c r="B4" s="120" t="s">
        <v>63</v>
      </c>
      <c r="D4" s="9" t="s">
        <v>223</v>
      </c>
      <c r="E4" s="44" t="s">
        <v>131</v>
      </c>
      <c r="F4" s="9" t="s">
        <v>131</v>
      </c>
      <c r="G4" s="9" t="s">
        <v>131</v>
      </c>
    </row>
    <row r="5" spans="1:7" ht="13.15" x14ac:dyDescent="0.35">
      <c r="A5" s="122">
        <v>44044</v>
      </c>
      <c r="C5" s="100" t="s">
        <v>224</v>
      </c>
      <c r="D5" s="105">
        <v>792298</v>
      </c>
      <c r="E5" s="105">
        <v>990118</v>
      </c>
      <c r="F5" s="105">
        <v>799379</v>
      </c>
    </row>
    <row r="7" spans="1:7" ht="13.15" thickBot="1" x14ac:dyDescent="0.4">
      <c r="B7" s="6" t="s">
        <v>126</v>
      </c>
      <c r="C7" s="85"/>
      <c r="D7" s="106">
        <v>859765.56579999998</v>
      </c>
      <c r="E7" s="106">
        <v>970039.16448400007</v>
      </c>
      <c r="F7" s="106">
        <v>777015.82159432</v>
      </c>
    </row>
    <row r="8" spans="1:7" ht="13.15" thickTop="1" x14ac:dyDescent="0.35">
      <c r="B8" s="98"/>
      <c r="C8" s="100" t="s">
        <v>224</v>
      </c>
      <c r="D8" s="105">
        <v>723843.22</v>
      </c>
      <c r="E8" s="105">
        <v>974013</v>
      </c>
      <c r="F8" s="105">
        <v>777015</v>
      </c>
    </row>
    <row r="9" spans="1:7" x14ac:dyDescent="0.35">
      <c r="D9" s="106"/>
      <c r="E9" s="106"/>
      <c r="F9" s="106"/>
    </row>
    <row r="10" spans="1:7" ht="13.15" thickBot="1" x14ac:dyDescent="0.4">
      <c r="B10" s="6" t="s">
        <v>168</v>
      </c>
      <c r="C10" t="s">
        <v>227</v>
      </c>
      <c r="D10" s="106">
        <v>20146.91165454546</v>
      </c>
      <c r="E10" s="106">
        <v>28002.241343272734</v>
      </c>
      <c r="F10" s="106">
        <v>24695.562024316518</v>
      </c>
      <c r="G10" s="106">
        <v>26588</v>
      </c>
    </row>
    <row r="11" spans="1:7" ht="13.15" thickTop="1" x14ac:dyDescent="0.35">
      <c r="C11" s="100" t="s">
        <v>239</v>
      </c>
      <c r="D11" s="105">
        <v>68454.780000000028</v>
      </c>
      <c r="E11" s="105">
        <v>16105</v>
      </c>
      <c r="F11" s="105">
        <v>22364</v>
      </c>
      <c r="G11" s="105">
        <v>15254</v>
      </c>
    </row>
    <row r="13" spans="1:7" ht="13.15" x14ac:dyDescent="0.35">
      <c r="A13" s="120" t="s">
        <v>229</v>
      </c>
    </row>
    <row r="14" spans="1:7" ht="26.65" thickBot="1" x14ac:dyDescent="0.4">
      <c r="A14" s="121" t="s">
        <v>230</v>
      </c>
      <c r="B14" s="6" t="s">
        <v>63</v>
      </c>
      <c r="C14" s="85"/>
      <c r="D14" s="106">
        <v>879912.47745454544</v>
      </c>
      <c r="E14" s="106">
        <v>998041.4058272728</v>
      </c>
      <c r="F14" s="106">
        <v>801711.38361863652</v>
      </c>
    </row>
    <row r="15" spans="1:7" ht="13.15" thickTop="1" x14ac:dyDescent="0.35">
      <c r="B15" s="98"/>
      <c r="C15" s="100" t="s">
        <v>234</v>
      </c>
      <c r="D15" s="105">
        <v>792298</v>
      </c>
      <c r="E15" s="105">
        <v>862307</v>
      </c>
      <c r="F15" s="105">
        <v>927190</v>
      </c>
    </row>
    <row r="17" spans="1:7" ht="13.15" x14ac:dyDescent="0.35">
      <c r="B17" s="120" t="s">
        <v>126</v>
      </c>
      <c r="D17" s="106">
        <v>859765.56579999998</v>
      </c>
      <c r="E17" s="106">
        <v>970039.16448400007</v>
      </c>
      <c r="F17" s="106">
        <v>777015.82159432</v>
      </c>
    </row>
    <row r="18" spans="1:7" x14ac:dyDescent="0.35">
      <c r="C18" s="100" t="s">
        <v>224</v>
      </c>
      <c r="D18" s="105">
        <v>723843.22</v>
      </c>
      <c r="E18" s="105">
        <v>825260</v>
      </c>
      <c r="F18" s="105">
        <v>925768</v>
      </c>
    </row>
    <row r="20" spans="1:7" ht="13.15" x14ac:dyDescent="0.35">
      <c r="B20" s="120" t="s">
        <v>168</v>
      </c>
      <c r="C20" t="s">
        <v>227</v>
      </c>
      <c r="D20" s="106">
        <v>20146.91165454546</v>
      </c>
      <c r="E20" s="106">
        <v>28002.241343272734</v>
      </c>
      <c r="F20" s="106">
        <v>24695.562024316518</v>
      </c>
    </row>
    <row r="21" spans="1:7" x14ac:dyDescent="0.35">
      <c r="C21" s="100" t="s">
        <v>224</v>
      </c>
      <c r="D21" s="105">
        <v>68454.780000000028</v>
      </c>
      <c r="E21" s="105">
        <v>37047</v>
      </c>
      <c r="F21" s="105">
        <v>1422</v>
      </c>
      <c r="G21" s="105">
        <v>31250</v>
      </c>
    </row>
    <row r="22" spans="1:7" x14ac:dyDescent="0.35">
      <c r="C22" s="100"/>
      <c r="D22" s="105"/>
      <c r="E22" s="105"/>
      <c r="F22" s="105"/>
    </row>
    <row r="24" spans="1:7" ht="39.4" x14ac:dyDescent="0.35">
      <c r="A24" s="121" t="s">
        <v>231</v>
      </c>
      <c r="B24" s="120" t="s">
        <v>63</v>
      </c>
      <c r="D24" s="106">
        <v>879912.47745454544</v>
      </c>
      <c r="E24" s="106">
        <v>998041.4058272728</v>
      </c>
      <c r="F24" s="106">
        <v>801711.38361863652</v>
      </c>
    </row>
    <row r="25" spans="1:7" ht="13.15" x14ac:dyDescent="0.35">
      <c r="B25" s="120"/>
      <c r="C25" s="100" t="s">
        <v>224</v>
      </c>
      <c r="D25" s="105">
        <v>792298</v>
      </c>
      <c r="E25" s="105">
        <v>660347</v>
      </c>
      <c r="F25" s="105">
        <v>927190</v>
      </c>
    </row>
    <row r="26" spans="1:7" ht="13.15" x14ac:dyDescent="0.35">
      <c r="B26" s="120"/>
    </row>
    <row r="27" spans="1:7" ht="13.15" x14ac:dyDescent="0.35">
      <c r="B27" s="120" t="s">
        <v>126</v>
      </c>
      <c r="D27" s="106">
        <v>859765.56579999998</v>
      </c>
      <c r="E27" s="106">
        <v>970039.16448400007</v>
      </c>
      <c r="F27" s="106">
        <v>777015.82159432</v>
      </c>
    </row>
    <row r="28" spans="1:7" ht="13.15" x14ac:dyDescent="0.35">
      <c r="B28" s="120"/>
      <c r="C28" s="100" t="s">
        <v>224</v>
      </c>
      <c r="D28" s="105">
        <v>723843.22</v>
      </c>
      <c r="E28" s="105">
        <v>684560</v>
      </c>
      <c r="F28" s="105">
        <v>925768</v>
      </c>
    </row>
    <row r="29" spans="1:7" ht="13.15" x14ac:dyDescent="0.35">
      <c r="B29" s="120"/>
    </row>
    <row r="30" spans="1:7" ht="13.15" x14ac:dyDescent="0.35">
      <c r="B30" s="120" t="s">
        <v>168</v>
      </c>
      <c r="C30" t="s">
        <v>227</v>
      </c>
      <c r="D30" s="106">
        <v>20146.91165454546</v>
      </c>
      <c r="E30" s="106">
        <v>28002.241343272734</v>
      </c>
      <c r="F30" s="106">
        <v>24695.562024316518</v>
      </c>
    </row>
    <row r="31" spans="1:7" x14ac:dyDescent="0.35">
      <c r="C31" s="100" t="s">
        <v>224</v>
      </c>
      <c r="D31" s="105">
        <v>68454.780000000028</v>
      </c>
      <c r="E31" s="123">
        <v>-24213</v>
      </c>
      <c r="F31" s="105">
        <v>1422</v>
      </c>
      <c r="G31">
        <v>-25896</v>
      </c>
    </row>
    <row r="33" spans="4:6" ht="13.15" x14ac:dyDescent="0.35">
      <c r="D33" s="47">
        <v>43983</v>
      </c>
      <c r="E33" s="46">
        <v>44348</v>
      </c>
      <c r="F33" s="70">
        <v>44713</v>
      </c>
    </row>
    <row r="34" spans="4:6" ht="13.15" x14ac:dyDescent="0.35">
      <c r="D34" s="9" t="s">
        <v>223</v>
      </c>
      <c r="E34" s="44" t="s">
        <v>131</v>
      </c>
      <c r="F34" s="9" t="s">
        <v>131</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4B98-9217-4F4A-BB99-C0A54F18B12E}">
  <sheetPr codeName="Sheet17"/>
  <dimension ref="B1:G338"/>
  <sheetViews>
    <sheetView workbookViewId="0">
      <selection activeCell="J24" sqref="J24"/>
    </sheetView>
  </sheetViews>
  <sheetFormatPr defaultRowHeight="12.75" x14ac:dyDescent="0.35"/>
  <cols>
    <col min="2" max="2" width="43.86328125" bestFit="1" customWidth="1"/>
    <col min="3" max="3" width="12.265625" style="31" customWidth="1"/>
    <col min="4" max="4" width="13.06640625" bestFit="1" customWidth="1"/>
    <col min="5" max="5" width="13.06640625" style="34" bestFit="1" customWidth="1"/>
    <col min="6" max="6" width="13.06640625" style="69" bestFit="1" customWidth="1"/>
  </cols>
  <sheetData>
    <row r="1" spans="2:7" ht="12.75" customHeight="1" x14ac:dyDescent="0.35">
      <c r="B1" s="52"/>
      <c r="C1" s="76"/>
      <c r="D1" s="52"/>
      <c r="E1" s="52"/>
      <c r="F1" s="68"/>
    </row>
    <row r="2" spans="2:7" ht="12.75" customHeight="1" x14ac:dyDescent="0.35">
      <c r="B2" s="52"/>
      <c r="C2" s="76"/>
      <c r="D2" s="52"/>
      <c r="E2" s="52"/>
      <c r="F2" s="68"/>
    </row>
    <row r="3" spans="2:7" ht="12.75" customHeight="1" x14ac:dyDescent="0.35">
      <c r="B3" s="52"/>
      <c r="C3" s="76"/>
      <c r="D3" s="52"/>
      <c r="E3" s="52"/>
      <c r="F3" s="68"/>
    </row>
    <row r="4" spans="2:7" ht="12.75" customHeight="1" x14ac:dyDescent="0.35">
      <c r="B4" s="52"/>
      <c r="C4" s="76"/>
      <c r="D4" s="52"/>
      <c r="E4" s="52"/>
      <c r="F4" s="68"/>
    </row>
    <row r="5" spans="2:7" ht="12.75" customHeight="1" x14ac:dyDescent="0.35">
      <c r="B5" s="52"/>
      <c r="C5" s="76"/>
      <c r="D5" s="52"/>
      <c r="E5" s="52"/>
      <c r="F5" s="68"/>
    </row>
    <row r="6" spans="2:7" ht="38.25" customHeight="1" x14ac:dyDescent="0.35">
      <c r="B6" s="52"/>
      <c r="C6" s="76"/>
      <c r="D6" s="52"/>
      <c r="E6" s="52"/>
      <c r="F6" s="68"/>
    </row>
    <row r="7" spans="2:7" ht="12.75" customHeight="1" x14ac:dyDescent="0.35"/>
    <row r="8" spans="2:7" ht="12.75" customHeight="1" x14ac:dyDescent="0.35">
      <c r="C8" s="77"/>
      <c r="E8" s="34" t="s">
        <v>140</v>
      </c>
      <c r="F8" s="74"/>
    </row>
    <row r="9" spans="2:7" ht="12.75" customHeight="1" x14ac:dyDescent="0.35">
      <c r="B9" s="4"/>
      <c r="C9" s="78"/>
      <c r="D9" s="47">
        <v>43983</v>
      </c>
      <c r="E9" s="46">
        <v>44348</v>
      </c>
      <c r="F9" s="70">
        <v>44713</v>
      </c>
      <c r="G9" s="130" t="s">
        <v>238</v>
      </c>
    </row>
    <row r="10" spans="2:7" ht="12.75" customHeight="1" x14ac:dyDescent="0.35">
      <c r="C10" s="79"/>
      <c r="D10" s="9" t="s">
        <v>223</v>
      </c>
      <c r="E10" s="44" t="s">
        <v>131</v>
      </c>
      <c r="F10" s="9" t="s">
        <v>131</v>
      </c>
      <c r="G10" s="9" t="s">
        <v>131</v>
      </c>
    </row>
    <row r="11" spans="2:7" ht="12.75" customHeight="1" x14ac:dyDescent="0.35">
      <c r="B11" s="3" t="s">
        <v>3</v>
      </c>
    </row>
    <row r="12" spans="2:7" ht="12.75" customHeight="1" x14ac:dyDescent="0.35"/>
    <row r="13" spans="2:7" ht="12.75" customHeight="1" x14ac:dyDescent="0.35">
      <c r="B13" s="3" t="s">
        <v>4</v>
      </c>
    </row>
    <row r="14" spans="2:7" ht="12.75" customHeight="1" x14ac:dyDescent="0.35">
      <c r="B14" s="5" t="s">
        <v>9</v>
      </c>
      <c r="C14" s="81"/>
      <c r="D14" s="101">
        <v>45700</v>
      </c>
      <c r="E14" s="102">
        <v>36700</v>
      </c>
      <c r="F14" s="103">
        <v>36700</v>
      </c>
    </row>
    <row r="15" spans="2:7" ht="12.75" customHeight="1" x14ac:dyDescent="0.35">
      <c r="C15" s="100" t="s">
        <v>224</v>
      </c>
      <c r="D15" s="104">
        <v>33984</v>
      </c>
      <c r="E15" s="105">
        <v>27500</v>
      </c>
      <c r="F15" s="104">
        <v>27500</v>
      </c>
    </row>
    <row r="16" spans="2:7" ht="12.75" customHeight="1" x14ac:dyDescent="0.35">
      <c r="B16" s="3" t="s">
        <v>10</v>
      </c>
      <c r="D16" s="106"/>
      <c r="E16" s="107"/>
      <c r="F16" s="108"/>
    </row>
    <row r="17" spans="2:6" ht="12.75" customHeight="1" x14ac:dyDescent="0.35">
      <c r="D17" s="106"/>
      <c r="E17" s="107"/>
      <c r="F17" s="108"/>
    </row>
    <row r="18" spans="2:6" ht="12.75" customHeight="1" x14ac:dyDescent="0.35">
      <c r="B18" s="3" t="s">
        <v>11</v>
      </c>
      <c r="D18" s="101">
        <v>181992.66750000001</v>
      </c>
      <c r="E18" s="109">
        <v>191092.30087500002</v>
      </c>
      <c r="F18" s="101">
        <v>200646.91591875005</v>
      </c>
    </row>
    <row r="19" spans="2:6" ht="12.75" customHeight="1" x14ac:dyDescent="0.35">
      <c r="C19" s="100" t="s">
        <v>224</v>
      </c>
      <c r="D19" s="105">
        <v>192659</v>
      </c>
      <c r="E19" s="105">
        <v>192109</v>
      </c>
      <c r="F19" s="105">
        <v>201704</v>
      </c>
    </row>
    <row r="20" spans="2:6" ht="12.75" customHeight="1" x14ac:dyDescent="0.35">
      <c r="B20" s="3" t="s">
        <v>19</v>
      </c>
      <c r="C20" s="80"/>
      <c r="D20" s="101"/>
      <c r="E20" s="109"/>
      <c r="F20" s="101"/>
    </row>
    <row r="21" spans="2:6" ht="12.75" customHeight="1" x14ac:dyDescent="0.35">
      <c r="B21" s="5" t="s">
        <v>26</v>
      </c>
      <c r="C21" s="81"/>
      <c r="D21" s="103">
        <v>274023.0999545455</v>
      </c>
      <c r="E21" s="102">
        <v>287724.25495227281</v>
      </c>
      <c r="F21" s="103">
        <v>302110.46769988647</v>
      </c>
    </row>
    <row r="22" spans="2:6" ht="12.75" customHeight="1" x14ac:dyDescent="0.35">
      <c r="C22" s="100" t="s">
        <v>224</v>
      </c>
      <c r="D22" s="104">
        <v>258682</v>
      </c>
      <c r="E22" s="105">
        <v>284170</v>
      </c>
      <c r="F22" s="104">
        <v>298379</v>
      </c>
    </row>
    <row r="23" spans="2:6" ht="12.75" customHeight="1" x14ac:dyDescent="0.35">
      <c r="D23" s="104"/>
      <c r="E23" s="105"/>
      <c r="F23" s="104"/>
    </row>
    <row r="24" spans="2:6" ht="12.75" customHeight="1" thickBot="1" x14ac:dyDescent="0.4">
      <c r="B24" s="6" t="s">
        <v>27</v>
      </c>
      <c r="C24" s="82"/>
      <c r="D24" s="110">
        <f>D21+D18</f>
        <v>456015.76745454548</v>
      </c>
      <c r="E24" s="110">
        <f t="shared" ref="E24:F25" si="0">E21+E18</f>
        <v>478816.55582727282</v>
      </c>
      <c r="F24" s="110">
        <f t="shared" si="0"/>
        <v>502757.38361863652</v>
      </c>
    </row>
    <row r="25" spans="2:6" ht="12.75" customHeight="1" thickTop="1" x14ac:dyDescent="0.35">
      <c r="C25" s="100" t="s">
        <v>224</v>
      </c>
      <c r="D25" s="105">
        <f>D22+D19</f>
        <v>451341</v>
      </c>
      <c r="E25" s="105">
        <f t="shared" si="0"/>
        <v>476279</v>
      </c>
      <c r="F25" s="105">
        <f t="shared" si="0"/>
        <v>500083</v>
      </c>
    </row>
    <row r="26" spans="2:6" ht="12.75" customHeight="1" x14ac:dyDescent="0.35">
      <c r="B26" s="3" t="s">
        <v>28</v>
      </c>
      <c r="D26" s="106"/>
      <c r="E26" s="107"/>
      <c r="F26" s="108"/>
    </row>
    <row r="27" spans="2:6" ht="12.75" hidden="1" customHeight="1" x14ac:dyDescent="0.35">
      <c r="B27" s="1" t="s">
        <v>34</v>
      </c>
      <c r="C27" s="80"/>
      <c r="D27" s="101"/>
      <c r="E27" s="109"/>
      <c r="F27" s="101"/>
    </row>
    <row r="28" spans="2:6" ht="12.75" customHeight="1" x14ac:dyDescent="0.35">
      <c r="B28" s="5" t="s">
        <v>35</v>
      </c>
      <c r="C28" s="83"/>
      <c r="D28" s="111">
        <v>105480</v>
      </c>
      <c r="E28" s="112">
        <v>110754</v>
      </c>
      <c r="F28" s="111">
        <v>110754</v>
      </c>
    </row>
    <row r="29" spans="2:6" ht="12.75" customHeight="1" x14ac:dyDescent="0.35">
      <c r="C29" s="100" t="s">
        <v>224</v>
      </c>
      <c r="D29" s="105">
        <v>112410</v>
      </c>
      <c r="E29" s="105">
        <v>114568</v>
      </c>
      <c r="F29" s="105">
        <v>120296</v>
      </c>
    </row>
    <row r="30" spans="2:6" ht="12.75" customHeight="1" thickBot="1" x14ac:dyDescent="0.4">
      <c r="B30" s="6" t="s">
        <v>36</v>
      </c>
      <c r="C30" s="85"/>
      <c r="D30" s="110">
        <f>D28+D24</f>
        <v>561495.76745454548</v>
      </c>
      <c r="E30" s="110">
        <f t="shared" ref="E30:F31" si="1">E28+E24</f>
        <v>589570.55582727282</v>
      </c>
      <c r="F30" s="110">
        <f t="shared" si="1"/>
        <v>613511.38361863652</v>
      </c>
    </row>
    <row r="31" spans="2:6" ht="12.75" customHeight="1" thickTop="1" x14ac:dyDescent="0.35">
      <c r="C31" s="100" t="s">
        <v>224</v>
      </c>
      <c r="D31" s="105">
        <f>D29+D25</f>
        <v>563751</v>
      </c>
      <c r="E31" s="105">
        <f t="shared" si="1"/>
        <v>590847</v>
      </c>
      <c r="F31" s="105">
        <f t="shared" si="1"/>
        <v>620379</v>
      </c>
    </row>
    <row r="32" spans="2:6" ht="12.75" customHeight="1" x14ac:dyDescent="0.35">
      <c r="B32" s="3" t="s">
        <v>37</v>
      </c>
      <c r="D32" s="106"/>
      <c r="E32" s="107"/>
      <c r="F32" s="108"/>
    </row>
    <row r="33" spans="2:6" ht="12.75" customHeight="1" x14ac:dyDescent="0.35">
      <c r="B33" s="1" t="s">
        <v>38</v>
      </c>
      <c r="C33" s="80"/>
      <c r="D33" s="101">
        <v>6300</v>
      </c>
      <c r="E33" s="109">
        <v>7000</v>
      </c>
      <c r="F33" s="101">
        <v>7500</v>
      </c>
    </row>
    <row r="34" spans="2:6" ht="12.75" customHeight="1" x14ac:dyDescent="0.35">
      <c r="B34" s="5" t="s">
        <v>41</v>
      </c>
      <c r="C34" s="83"/>
      <c r="D34" s="111">
        <v>6300</v>
      </c>
      <c r="E34" s="112">
        <v>7000</v>
      </c>
      <c r="F34" s="111">
        <v>7500</v>
      </c>
    </row>
    <row r="35" spans="2:6" ht="12.75" customHeight="1" x14ac:dyDescent="0.35">
      <c r="C35" s="100" t="s">
        <v>224</v>
      </c>
      <c r="D35" s="105">
        <v>10856</v>
      </c>
      <c r="E35" s="105">
        <v>7000</v>
      </c>
      <c r="F35" s="105">
        <v>7500</v>
      </c>
    </row>
    <row r="36" spans="2:6" ht="12.75" customHeight="1" x14ac:dyDescent="0.35">
      <c r="B36" s="3" t="s">
        <v>42</v>
      </c>
      <c r="C36" s="84"/>
      <c r="D36" s="106"/>
      <c r="E36" s="107"/>
      <c r="F36" s="108"/>
    </row>
    <row r="37" spans="2:6" ht="12.75" customHeight="1" x14ac:dyDescent="0.35">
      <c r="B37" s="3" t="s">
        <v>44</v>
      </c>
      <c r="C37" s="84"/>
      <c r="D37" s="106"/>
      <c r="E37" s="107"/>
      <c r="F37" s="108"/>
    </row>
    <row r="38" spans="2:6" ht="12.75" customHeight="1" x14ac:dyDescent="0.35">
      <c r="B38" s="5" t="s">
        <v>46</v>
      </c>
      <c r="C38" s="83"/>
      <c r="D38" s="111">
        <v>34000</v>
      </c>
      <c r="E38" s="112">
        <v>35000</v>
      </c>
      <c r="F38" s="111">
        <v>36000</v>
      </c>
    </row>
    <row r="39" spans="2:6" ht="12.75" customHeight="1" x14ac:dyDescent="0.35">
      <c r="B39" s="98"/>
      <c r="C39" s="100" t="s">
        <v>224</v>
      </c>
      <c r="D39" s="113">
        <v>0</v>
      </c>
      <c r="E39" s="113">
        <v>35000</v>
      </c>
      <c r="F39" s="113">
        <v>36000</v>
      </c>
    </row>
    <row r="40" spans="2:6" ht="12.75" customHeight="1" x14ac:dyDescent="0.35">
      <c r="C40" s="84"/>
      <c r="D40" s="106"/>
      <c r="E40" s="107"/>
      <c r="F40" s="108"/>
    </row>
    <row r="41" spans="2:6" ht="12.75" customHeight="1" x14ac:dyDescent="0.35">
      <c r="B41" s="3" t="s">
        <v>47</v>
      </c>
      <c r="C41" s="84"/>
      <c r="D41" s="106"/>
      <c r="E41" s="107"/>
      <c r="F41" s="108"/>
    </row>
    <row r="42" spans="2:6" ht="12.75" customHeight="1" x14ac:dyDescent="0.35">
      <c r="B42" s="5" t="s">
        <v>50</v>
      </c>
      <c r="C42" s="83"/>
      <c r="D42" s="111">
        <v>97416.709999999992</v>
      </c>
      <c r="E42" s="112">
        <v>0</v>
      </c>
      <c r="F42" s="111">
        <v>103000</v>
      </c>
    </row>
    <row r="43" spans="2:6" ht="12.75" customHeight="1" x14ac:dyDescent="0.35">
      <c r="B43" s="98"/>
      <c r="C43" s="100" t="s">
        <v>224</v>
      </c>
      <c r="D43" s="113">
        <v>68880</v>
      </c>
      <c r="E43" s="113"/>
      <c r="F43" s="113">
        <v>103000</v>
      </c>
    </row>
    <row r="44" spans="2:6" ht="12.75" customHeight="1" x14ac:dyDescent="0.35">
      <c r="C44" s="84"/>
      <c r="D44" s="106"/>
      <c r="E44" s="107"/>
      <c r="F44" s="108"/>
    </row>
    <row r="45" spans="2:6" ht="12.75" customHeight="1" x14ac:dyDescent="0.35">
      <c r="B45" s="3" t="s">
        <v>51</v>
      </c>
      <c r="C45" s="84"/>
      <c r="D45" s="106"/>
      <c r="E45" s="107"/>
      <c r="F45" s="108"/>
    </row>
    <row r="46" spans="2:6" ht="12.75" customHeight="1" x14ac:dyDescent="0.35">
      <c r="B46" s="5" t="s">
        <v>54</v>
      </c>
      <c r="C46" s="83"/>
      <c r="D46" s="111">
        <v>0</v>
      </c>
      <c r="E46" s="112"/>
      <c r="F46" s="112">
        <v>127810.85</v>
      </c>
    </row>
    <row r="47" spans="2:6" ht="12.75" customHeight="1" x14ac:dyDescent="0.35">
      <c r="B47" s="98"/>
      <c r="C47" s="100" t="s">
        <v>224</v>
      </c>
      <c r="D47" s="113">
        <v>0</v>
      </c>
      <c r="E47" s="113"/>
      <c r="F47" s="113">
        <v>127811</v>
      </c>
    </row>
    <row r="48" spans="2:6" ht="12.75" customHeight="1" x14ac:dyDescent="0.35">
      <c r="C48" s="84"/>
      <c r="D48" s="106"/>
      <c r="E48" s="107"/>
      <c r="F48" s="108"/>
    </row>
    <row r="49" spans="2:6" ht="12.75" customHeight="1" x14ac:dyDescent="0.35">
      <c r="B49" s="3" t="s">
        <v>55</v>
      </c>
      <c r="C49" s="84"/>
      <c r="D49" s="106"/>
      <c r="E49" s="107"/>
      <c r="F49" s="108"/>
    </row>
    <row r="50" spans="2:6" ht="12.75" customHeight="1" x14ac:dyDescent="0.35">
      <c r="B50" s="5" t="s">
        <v>58</v>
      </c>
      <c r="C50" s="83"/>
      <c r="D50" s="111">
        <v>0</v>
      </c>
      <c r="E50" s="112">
        <v>201960</v>
      </c>
      <c r="F50" s="111">
        <v>0</v>
      </c>
    </row>
    <row r="51" spans="2:6" ht="12.75" customHeight="1" x14ac:dyDescent="0.35">
      <c r="B51" s="98"/>
      <c r="C51" s="100" t="s">
        <v>224</v>
      </c>
      <c r="D51" s="113"/>
      <c r="E51" s="113">
        <v>201960</v>
      </c>
      <c r="F51" s="113"/>
    </row>
    <row r="52" spans="2:6" ht="12.75" customHeight="1" x14ac:dyDescent="0.35">
      <c r="C52" s="84"/>
      <c r="D52" s="106"/>
      <c r="E52" s="107"/>
      <c r="F52" s="108"/>
    </row>
    <row r="53" spans="2:6" ht="12.75" customHeight="1" x14ac:dyDescent="0.35">
      <c r="B53" s="3" t="s">
        <v>59</v>
      </c>
      <c r="C53" s="80"/>
      <c r="D53" s="101"/>
      <c r="E53" s="109"/>
      <c r="F53" s="101"/>
    </row>
    <row r="54" spans="2:6" ht="12.75" customHeight="1" x14ac:dyDescent="0.35">
      <c r="B54" s="5" t="s">
        <v>61</v>
      </c>
      <c r="C54" s="83"/>
      <c r="D54" s="111">
        <v>135000</v>
      </c>
      <c r="E54" s="112">
        <v>0</v>
      </c>
      <c r="F54" s="111">
        <v>5000</v>
      </c>
    </row>
    <row r="55" spans="2:6" ht="12.75" customHeight="1" x14ac:dyDescent="0.35">
      <c r="B55" s="98"/>
      <c r="C55" s="100" t="s">
        <v>224</v>
      </c>
      <c r="D55" s="113">
        <v>114827</v>
      </c>
      <c r="E55" s="113"/>
      <c r="F55" s="113">
        <v>5000</v>
      </c>
    </row>
    <row r="56" spans="2:6" ht="12.75" customHeight="1" x14ac:dyDescent="0.35">
      <c r="C56" s="84"/>
      <c r="D56" s="106"/>
      <c r="E56" s="107"/>
      <c r="F56" s="108"/>
    </row>
    <row r="57" spans="2:6" ht="12.75" customHeight="1" thickBot="1" x14ac:dyDescent="0.4">
      <c r="B57" s="6" t="s">
        <v>62</v>
      </c>
      <c r="C57" s="85"/>
      <c r="D57" s="110">
        <v>266416.70999999996</v>
      </c>
      <c r="E57" s="114">
        <v>364770.85</v>
      </c>
      <c r="F57" s="110">
        <v>144000</v>
      </c>
    </row>
    <row r="58" spans="2:6" ht="12.75" customHeight="1" thickTop="1" x14ac:dyDescent="0.35">
      <c r="B58" s="98"/>
      <c r="C58" s="100" t="s">
        <v>224</v>
      </c>
      <c r="D58" s="113">
        <f>D55+D51+D47+D43+D39</f>
        <v>183707</v>
      </c>
      <c r="E58" s="113">
        <f t="shared" ref="E58:F58" si="2">E55+E51+E47+E43+E39</f>
        <v>236960</v>
      </c>
      <c r="F58" s="113">
        <f t="shared" si="2"/>
        <v>271811</v>
      </c>
    </row>
    <row r="59" spans="2:6" ht="12.75" customHeight="1" x14ac:dyDescent="0.35">
      <c r="C59" s="84"/>
      <c r="D59" s="106"/>
      <c r="E59" s="107"/>
      <c r="F59" s="108"/>
    </row>
    <row r="60" spans="2:6" ht="12.75" customHeight="1" thickBot="1" x14ac:dyDescent="0.4">
      <c r="B60" s="6" t="s">
        <v>63</v>
      </c>
      <c r="C60" s="85"/>
      <c r="D60" s="110">
        <v>879912.47745454544</v>
      </c>
      <c r="E60" s="114">
        <v>998041.4058272728</v>
      </c>
      <c r="F60" s="110">
        <v>801711.38361863652</v>
      </c>
    </row>
    <row r="61" spans="2:6" ht="12.75" customHeight="1" thickTop="1" x14ac:dyDescent="0.35">
      <c r="B61" s="98"/>
      <c r="C61" s="100" t="s">
        <v>224</v>
      </c>
      <c r="D61" s="113">
        <f>D58+D35+D31+D15</f>
        <v>792298</v>
      </c>
      <c r="E61" s="113">
        <f t="shared" ref="E61:F61" si="3">E58+E35+E31+E15</f>
        <v>862307</v>
      </c>
      <c r="F61" s="113">
        <f t="shared" si="3"/>
        <v>927190</v>
      </c>
    </row>
    <row r="62" spans="2:6" ht="15" customHeight="1" x14ac:dyDescent="0.35">
      <c r="C62" s="84"/>
      <c r="D62" s="106"/>
      <c r="E62" s="107"/>
      <c r="F62" s="108"/>
    </row>
    <row r="63" spans="2:6" ht="12.75" customHeight="1" x14ac:dyDescent="0.35">
      <c r="B63" s="98"/>
      <c r="C63" s="99"/>
      <c r="D63" s="115"/>
      <c r="E63" s="115"/>
      <c r="F63" s="116"/>
    </row>
    <row r="64" spans="2:6" ht="12.75" customHeight="1" x14ac:dyDescent="0.35">
      <c r="D64" s="106"/>
      <c r="E64" s="107"/>
      <c r="F64" s="108"/>
    </row>
    <row r="65" spans="2:6" ht="12.75" customHeight="1" x14ac:dyDescent="0.35">
      <c r="B65" s="3" t="s">
        <v>65</v>
      </c>
      <c r="D65" s="106"/>
      <c r="E65" s="107"/>
      <c r="F65" s="108"/>
    </row>
    <row r="66" spans="2:6" ht="12.75" customHeight="1" x14ac:dyDescent="0.35">
      <c r="B66" s="3"/>
      <c r="D66" s="106"/>
      <c r="E66" s="107"/>
      <c r="F66" s="108"/>
    </row>
    <row r="67" spans="2:6" ht="12.75" customHeight="1" x14ac:dyDescent="0.35">
      <c r="B67" t="s">
        <v>226</v>
      </c>
      <c r="D67" s="105">
        <v>97066</v>
      </c>
      <c r="E67" s="107"/>
      <c r="F67" s="108"/>
    </row>
    <row r="68" spans="2:6" ht="12.75" customHeight="1" x14ac:dyDescent="0.35">
      <c r="B68" s="3" t="s">
        <v>225</v>
      </c>
      <c r="D68" s="106">
        <v>56700</v>
      </c>
      <c r="E68" s="106">
        <v>57834</v>
      </c>
      <c r="F68" s="106">
        <v>58990.68</v>
      </c>
    </row>
    <row r="69" spans="2:6" ht="12.75" customHeight="1" x14ac:dyDescent="0.35">
      <c r="B69" s="3"/>
      <c r="C69" s="100" t="s">
        <v>224</v>
      </c>
      <c r="D69" s="105">
        <v>54993</v>
      </c>
      <c r="E69" s="105">
        <v>65834</v>
      </c>
      <c r="F69" s="105">
        <v>68990</v>
      </c>
    </row>
    <row r="70" spans="2:6" ht="12.75" customHeight="1" x14ac:dyDescent="0.35">
      <c r="D70" s="106"/>
      <c r="E70" s="107"/>
      <c r="F70" s="108"/>
    </row>
    <row r="71" spans="2:6" ht="12.75" customHeight="1" x14ac:dyDescent="0.35">
      <c r="B71" s="3" t="s">
        <v>73</v>
      </c>
      <c r="D71" s="106"/>
      <c r="E71" s="107"/>
      <c r="F71" s="108"/>
    </row>
    <row r="72" spans="2:6" ht="12.75" customHeight="1" x14ac:dyDescent="0.35">
      <c r="B72" s="5" t="s">
        <v>84</v>
      </c>
      <c r="C72" s="33"/>
      <c r="D72" s="111">
        <v>35391.565799999997</v>
      </c>
      <c r="E72" s="112">
        <v>36821.734484000001</v>
      </c>
      <c r="F72" s="111">
        <v>38329.059794319997</v>
      </c>
    </row>
    <row r="73" spans="2:6" ht="12.75" customHeight="1" x14ac:dyDescent="0.35">
      <c r="B73" s="98"/>
      <c r="C73" s="100" t="s">
        <v>224</v>
      </c>
      <c r="D73" s="113">
        <v>34069</v>
      </c>
      <c r="E73" s="113">
        <v>40797</v>
      </c>
      <c r="F73" s="113">
        <v>38330</v>
      </c>
    </row>
    <row r="74" spans="2:6" ht="12.75" customHeight="1" x14ac:dyDescent="0.35">
      <c r="D74" s="106"/>
      <c r="E74" s="107"/>
      <c r="F74" s="108"/>
    </row>
    <row r="75" spans="2:6" ht="12.75" customHeight="1" x14ac:dyDescent="0.35">
      <c r="B75" s="3" t="s">
        <v>85</v>
      </c>
      <c r="D75" s="106"/>
      <c r="E75" s="107"/>
      <c r="F75" s="108"/>
    </row>
    <row r="76" spans="2:6" ht="12.75" customHeight="1" x14ac:dyDescent="0.35">
      <c r="B76" s="5" t="s">
        <v>97</v>
      </c>
      <c r="C76" s="33"/>
      <c r="D76" s="117">
        <v>293552</v>
      </c>
      <c r="E76" s="112">
        <v>302669.54000000004</v>
      </c>
      <c r="F76" s="111">
        <v>311786.00579999998</v>
      </c>
    </row>
    <row r="77" spans="2:6" ht="12.75" customHeight="1" x14ac:dyDescent="0.35">
      <c r="B77" s="98"/>
      <c r="C77" s="100" t="s">
        <v>224</v>
      </c>
      <c r="D77" s="113">
        <v>257938</v>
      </c>
      <c r="E77" s="113">
        <v>302670</v>
      </c>
      <c r="F77" s="113">
        <v>311786</v>
      </c>
    </row>
    <row r="78" spans="2:6" ht="12.75" customHeight="1" x14ac:dyDescent="0.35">
      <c r="D78" s="106"/>
      <c r="E78" s="107"/>
      <c r="F78" s="108"/>
    </row>
    <row r="79" spans="2:6" ht="12.75" customHeight="1" x14ac:dyDescent="0.35">
      <c r="B79" s="3" t="s">
        <v>98</v>
      </c>
      <c r="D79" s="106"/>
      <c r="E79" s="107"/>
      <c r="F79" s="108"/>
    </row>
    <row r="80" spans="2:6" ht="12.75" customHeight="1" x14ac:dyDescent="0.35">
      <c r="B80" s="5" t="s">
        <v>101</v>
      </c>
      <c r="C80" s="33"/>
      <c r="D80" s="117">
        <v>94932</v>
      </c>
      <c r="E80" s="112">
        <v>99678.6</v>
      </c>
      <c r="F80" s="111">
        <v>99678.6</v>
      </c>
    </row>
    <row r="81" spans="2:7" ht="12.75" customHeight="1" x14ac:dyDescent="0.35">
      <c r="C81" s="100" t="s">
        <v>224</v>
      </c>
      <c r="D81" s="118">
        <v>100854</v>
      </c>
      <c r="E81" s="118">
        <v>99678</v>
      </c>
      <c r="F81" s="118">
        <v>99678</v>
      </c>
    </row>
    <row r="82" spans="2:7" ht="12.75" customHeight="1" x14ac:dyDescent="0.35">
      <c r="B82" s="3" t="s">
        <v>102</v>
      </c>
      <c r="D82" s="106"/>
      <c r="E82" s="107"/>
      <c r="F82" s="108"/>
    </row>
    <row r="83" spans="2:7" ht="12.75" customHeight="1" x14ac:dyDescent="0.35">
      <c r="B83" s="5" t="s">
        <v>109</v>
      </c>
      <c r="C83" s="83"/>
      <c r="D83" s="117">
        <v>154690</v>
      </c>
      <c r="E83" s="111">
        <v>161081.476</v>
      </c>
      <c r="F83" s="112">
        <v>223723.99</v>
      </c>
      <c r="G83" s="112"/>
    </row>
    <row r="84" spans="2:7" ht="12.75" customHeight="1" x14ac:dyDescent="0.35">
      <c r="B84" s="98"/>
      <c r="C84" s="100" t="s">
        <v>224</v>
      </c>
      <c r="D84" s="113">
        <v>97645</v>
      </c>
      <c r="E84" s="113">
        <v>161081</v>
      </c>
      <c r="F84" s="113">
        <v>223723</v>
      </c>
      <c r="G84" s="113"/>
    </row>
    <row r="85" spans="2:7" ht="12.75" customHeight="1" x14ac:dyDescent="0.35">
      <c r="C85" s="84"/>
      <c r="D85" s="106"/>
      <c r="E85" s="107"/>
      <c r="F85" s="108"/>
    </row>
    <row r="86" spans="2:7" ht="12.75" customHeight="1" x14ac:dyDescent="0.35">
      <c r="B86" s="3" t="s">
        <v>110</v>
      </c>
      <c r="C86" s="84"/>
      <c r="D86" s="106"/>
      <c r="E86" s="107"/>
      <c r="F86" s="108"/>
    </row>
    <row r="87" spans="2:7" ht="12.75" customHeight="1" x14ac:dyDescent="0.35">
      <c r="C87" s="84"/>
      <c r="D87" s="106"/>
      <c r="E87" s="107"/>
      <c r="F87" s="108"/>
    </row>
    <row r="88" spans="2:7" ht="12.75" customHeight="1" x14ac:dyDescent="0.35">
      <c r="B88" s="3" t="s">
        <v>113</v>
      </c>
      <c r="C88" s="84"/>
      <c r="D88" s="106"/>
      <c r="E88" s="107"/>
      <c r="F88" s="108"/>
    </row>
    <row r="89" spans="2:7" ht="12.75" customHeight="1" x14ac:dyDescent="0.35">
      <c r="B89" s="5" t="s">
        <v>114</v>
      </c>
      <c r="C89" s="83"/>
      <c r="D89" s="111">
        <v>83000</v>
      </c>
      <c r="E89" s="112">
        <v>0</v>
      </c>
      <c r="F89" s="111">
        <v>87150</v>
      </c>
    </row>
    <row r="90" spans="2:7" ht="12.75" customHeight="1" x14ac:dyDescent="0.35">
      <c r="C90" s="100" t="s">
        <v>224</v>
      </c>
      <c r="D90" s="105">
        <v>80453</v>
      </c>
      <c r="E90" s="105"/>
      <c r="F90" s="105">
        <v>87150</v>
      </c>
    </row>
    <row r="91" spans="2:7" ht="12.75" customHeight="1" x14ac:dyDescent="0.35">
      <c r="B91" s="3" t="s">
        <v>115</v>
      </c>
      <c r="C91" s="84"/>
      <c r="D91" s="106"/>
      <c r="E91" s="107"/>
      <c r="F91" s="108"/>
    </row>
    <row r="92" spans="2:7" ht="12.75" customHeight="1" x14ac:dyDescent="0.35">
      <c r="B92" s="5" t="s">
        <v>119</v>
      </c>
      <c r="C92" s="83"/>
      <c r="D92" s="111">
        <v>0</v>
      </c>
      <c r="E92" s="112"/>
      <c r="F92" s="112">
        <v>86111.3</v>
      </c>
    </row>
    <row r="93" spans="2:7" ht="12.75" customHeight="1" x14ac:dyDescent="0.35">
      <c r="C93" s="100" t="s">
        <v>224</v>
      </c>
      <c r="D93" s="105"/>
      <c r="E93" s="105"/>
      <c r="F93" s="105">
        <v>86111</v>
      </c>
    </row>
    <row r="94" spans="2:7" ht="12.75" customHeight="1" x14ac:dyDescent="0.35">
      <c r="B94" s="3" t="s">
        <v>120</v>
      </c>
      <c r="C94" s="84"/>
      <c r="D94" s="106"/>
      <c r="E94" s="107"/>
      <c r="F94" s="108"/>
    </row>
    <row r="95" spans="2:7" ht="12.75" customHeight="1" x14ac:dyDescent="0.35">
      <c r="B95" s="5" t="s">
        <v>121</v>
      </c>
      <c r="C95" s="83"/>
      <c r="D95" s="111">
        <v>0</v>
      </c>
      <c r="E95" s="112">
        <v>140700</v>
      </c>
      <c r="F95" s="111">
        <v>0</v>
      </c>
    </row>
    <row r="96" spans="2:7" ht="12.75" customHeight="1" x14ac:dyDescent="0.35">
      <c r="C96" s="100" t="s">
        <v>224</v>
      </c>
      <c r="D96" s="105"/>
      <c r="E96" s="105">
        <v>140700</v>
      </c>
      <c r="F96" s="105"/>
    </row>
    <row r="97" spans="2:6" ht="12.75" customHeight="1" x14ac:dyDescent="0.35">
      <c r="B97" s="3" t="s">
        <v>122</v>
      </c>
      <c r="C97" s="84"/>
      <c r="D97" s="106"/>
      <c r="E97" s="107"/>
      <c r="F97" s="108"/>
    </row>
    <row r="98" spans="2:6" ht="12.75" customHeight="1" x14ac:dyDescent="0.35">
      <c r="B98" s="5" t="s">
        <v>124</v>
      </c>
      <c r="C98" s="83"/>
      <c r="D98" s="111">
        <v>10000</v>
      </c>
      <c r="E98" s="112">
        <v>10000</v>
      </c>
      <c r="F98" s="111">
        <v>10000</v>
      </c>
    </row>
    <row r="99" spans="2:6" ht="12.75" customHeight="1" x14ac:dyDescent="0.35">
      <c r="B99" s="98"/>
      <c r="C99" s="100" t="s">
        <v>224</v>
      </c>
      <c r="D99" s="113">
        <v>769</v>
      </c>
      <c r="E99" s="113">
        <v>10000</v>
      </c>
      <c r="F99" s="113">
        <v>10000</v>
      </c>
    </row>
    <row r="100" spans="2:6" ht="12.75" customHeight="1" x14ac:dyDescent="0.35">
      <c r="C100" s="84"/>
      <c r="D100" s="106"/>
      <c r="E100" s="107"/>
      <c r="F100" s="108"/>
    </row>
    <row r="101" spans="2:6" ht="12.75" customHeight="1" thickBot="1" x14ac:dyDescent="0.4">
      <c r="B101" s="6" t="s">
        <v>125</v>
      </c>
      <c r="C101" s="85"/>
      <c r="D101" s="110">
        <v>214500</v>
      </c>
      <c r="E101" s="114">
        <v>241311.3</v>
      </c>
      <c r="F101" s="110">
        <v>97150</v>
      </c>
    </row>
    <row r="102" spans="2:6" ht="12.75" customHeight="1" thickTop="1" x14ac:dyDescent="0.35">
      <c r="B102" s="98"/>
      <c r="C102" s="100" t="s">
        <v>224</v>
      </c>
      <c r="D102" s="105">
        <f>D99+D96+D93+D90+56.22</f>
        <v>81278.22</v>
      </c>
      <c r="E102" s="105">
        <f>E99+E96+E93+E90+4500</f>
        <v>155200</v>
      </c>
      <c r="F102" s="105">
        <f t="shared" ref="F102" si="4">F99+F96+F93+F90</f>
        <v>183261</v>
      </c>
    </row>
    <row r="103" spans="2:6" ht="12.75" customHeight="1" x14ac:dyDescent="0.35">
      <c r="C103" s="84"/>
      <c r="D103" s="106"/>
      <c r="E103" s="107"/>
      <c r="F103" s="108"/>
    </row>
    <row r="104" spans="2:6" ht="12.75" customHeight="1" thickBot="1" x14ac:dyDescent="0.4">
      <c r="B104" s="6" t="s">
        <v>126</v>
      </c>
      <c r="C104" s="85"/>
      <c r="D104" s="110">
        <v>859765.56579999998</v>
      </c>
      <c r="E104" s="114">
        <v>970039.16448400007</v>
      </c>
      <c r="F104" s="110">
        <v>777015.82159432</v>
      </c>
    </row>
    <row r="105" spans="2:6" ht="12.75" customHeight="1" thickTop="1" x14ac:dyDescent="0.35">
      <c r="B105" s="98"/>
      <c r="C105" s="100" t="s">
        <v>224</v>
      </c>
      <c r="D105" s="113">
        <f>D102+D84+D77+D73+D69+D67+D81</f>
        <v>723843.22</v>
      </c>
      <c r="E105" s="113">
        <f t="shared" ref="E105:F105" si="5">E102+E84+E77+E73+E69+E67+E81</f>
        <v>825260</v>
      </c>
      <c r="F105" s="113">
        <f t="shared" si="5"/>
        <v>925768</v>
      </c>
    </row>
    <row r="106" spans="2:6" ht="12.75" customHeight="1" x14ac:dyDescent="0.35">
      <c r="C106" s="84"/>
      <c r="D106" s="106"/>
      <c r="E106" s="107"/>
      <c r="F106" s="108"/>
    </row>
    <row r="107" spans="2:6" ht="12.75" customHeight="1" thickBot="1" x14ac:dyDescent="0.4">
      <c r="B107" s="6" t="s">
        <v>168</v>
      </c>
      <c r="C107" s="85" t="s">
        <v>227</v>
      </c>
      <c r="D107" s="110">
        <v>20146.91165454546</v>
      </c>
      <c r="E107" s="114">
        <v>28002.241343272734</v>
      </c>
      <c r="F107" s="110">
        <v>24695.562024316518</v>
      </c>
    </row>
    <row r="108" spans="2:6" ht="12.75" customHeight="1" thickTop="1" x14ac:dyDescent="0.35">
      <c r="B108" s="98"/>
      <c r="C108" s="100" t="s">
        <v>224</v>
      </c>
      <c r="D108" s="113">
        <f>D61-D105</f>
        <v>68454.780000000028</v>
      </c>
      <c r="E108" s="113">
        <f t="shared" ref="E108:F108" si="6">E61-E105</f>
        <v>37047</v>
      </c>
      <c r="F108" s="119">
        <f t="shared" si="6"/>
        <v>1422</v>
      </c>
    </row>
    <row r="109" spans="2:6" ht="12.75" customHeight="1" x14ac:dyDescent="0.35"/>
    <row r="110" spans="2:6" ht="12.75" customHeight="1" x14ac:dyDescent="0.35">
      <c r="B110" s="3" t="s">
        <v>127</v>
      </c>
    </row>
    <row r="111" spans="2:6" ht="12.75" customHeight="1" x14ac:dyDescent="0.35">
      <c r="B111" s="1" t="s">
        <v>128</v>
      </c>
    </row>
    <row r="112" spans="2:6" ht="12.75" customHeight="1" x14ac:dyDescent="0.35">
      <c r="B112" s="5" t="s">
        <v>129</v>
      </c>
    </row>
    <row r="113" spans="2:6" ht="16.5" customHeight="1" x14ac:dyDescent="0.35"/>
    <row r="114" spans="2:6" ht="12.75" customHeight="1" x14ac:dyDescent="0.35">
      <c r="C114" s="78"/>
      <c r="D114" s="47">
        <v>43983</v>
      </c>
      <c r="E114" s="46">
        <v>44348</v>
      </c>
      <c r="F114" s="46">
        <v>44713</v>
      </c>
    </row>
    <row r="115" spans="2:6" ht="12.75" customHeight="1" x14ac:dyDescent="0.35">
      <c r="B115" s="31"/>
      <c r="C115" s="79"/>
      <c r="D115" s="9" t="s">
        <v>132</v>
      </c>
      <c r="E115" s="44" t="s">
        <v>132</v>
      </c>
      <c r="F115" s="9" t="s">
        <v>132</v>
      </c>
    </row>
    <row r="116" spans="2:6" ht="12.75" customHeight="1" x14ac:dyDescent="0.35">
      <c r="B116" s="31"/>
      <c r="D116" s="31"/>
      <c r="E116" s="31"/>
    </row>
    <row r="117" spans="2:6" ht="12.75" customHeight="1" x14ac:dyDescent="0.35">
      <c r="B117" s="31"/>
      <c r="D117" s="31"/>
      <c r="E117" s="31"/>
    </row>
    <row r="118" spans="2:6" ht="12.75" customHeight="1" x14ac:dyDescent="0.35">
      <c r="B118" s="26"/>
      <c r="D118" s="31"/>
      <c r="E118" s="31"/>
    </row>
    <row r="119" spans="2:6" ht="27.75" customHeight="1" x14ac:dyDescent="0.35">
      <c r="B119" s="26"/>
      <c r="D119" s="31"/>
      <c r="E119" s="31"/>
    </row>
    <row r="120" spans="2:6" ht="12.75" customHeight="1" x14ac:dyDescent="0.35">
      <c r="B120" s="54"/>
      <c r="D120" s="31"/>
      <c r="E120" s="31"/>
    </row>
    <row r="121" spans="2:6" ht="12.75" customHeight="1" x14ac:dyDescent="0.35">
      <c r="B121" s="54"/>
      <c r="D121" s="31"/>
      <c r="E121" s="31"/>
    </row>
    <row r="122" spans="2:6" ht="12.75" customHeight="1" x14ac:dyDescent="0.35">
      <c r="B122" s="55"/>
      <c r="D122" s="31"/>
      <c r="E122" s="31"/>
    </row>
    <row r="123" spans="2:6" ht="12.75" customHeight="1" x14ac:dyDescent="0.35">
      <c r="B123" s="54"/>
      <c r="D123" s="31"/>
      <c r="E123" s="31"/>
    </row>
    <row r="124" spans="2:6" ht="12.75" customHeight="1" x14ac:dyDescent="0.35">
      <c r="B124" s="54"/>
      <c r="D124" s="31"/>
      <c r="E124" s="31"/>
    </row>
    <row r="125" spans="2:6" ht="12.75" customHeight="1" x14ac:dyDescent="0.35">
      <c r="B125" s="55"/>
      <c r="D125" s="31"/>
      <c r="E125" s="31"/>
    </row>
    <row r="126" spans="2:6" ht="12.75" customHeight="1" x14ac:dyDescent="0.35">
      <c r="B126" s="55"/>
      <c r="D126" s="31"/>
      <c r="E126" s="31"/>
    </row>
    <row r="127" spans="2:6" ht="12.75" customHeight="1" x14ac:dyDescent="0.35">
      <c r="B127" s="54"/>
      <c r="D127" s="31"/>
      <c r="E127" s="31"/>
    </row>
    <row r="128" spans="2:6" ht="12.75" customHeight="1" x14ac:dyDescent="0.35">
      <c r="B128" s="54"/>
      <c r="D128" s="31"/>
      <c r="E128" s="31"/>
    </row>
    <row r="129" spans="2:5" ht="12.75" customHeight="1" x14ac:dyDescent="0.35">
      <c r="B129" s="54"/>
      <c r="D129" s="31"/>
      <c r="E129" s="31"/>
    </row>
    <row r="130" spans="2:5" ht="12.75" customHeight="1" x14ac:dyDescent="0.35">
      <c r="B130" s="54"/>
      <c r="D130" s="31"/>
      <c r="E130" s="31"/>
    </row>
    <row r="131" spans="2:5" ht="12.75" customHeight="1" x14ac:dyDescent="0.35">
      <c r="B131" s="54"/>
      <c r="D131" s="31"/>
      <c r="E131" s="31"/>
    </row>
    <row r="132" spans="2:5" ht="12.75" customHeight="1" x14ac:dyDescent="0.35">
      <c r="B132" s="54"/>
      <c r="D132" s="31"/>
      <c r="E132" s="31"/>
    </row>
    <row r="133" spans="2:5" ht="12.75" customHeight="1" x14ac:dyDescent="0.35">
      <c r="B133" s="55"/>
      <c r="D133" s="31"/>
      <c r="E133" s="31"/>
    </row>
    <row r="134" spans="2:5" ht="12.75" customHeight="1" x14ac:dyDescent="0.35">
      <c r="B134" s="54"/>
      <c r="D134" s="31"/>
      <c r="E134" s="31"/>
    </row>
    <row r="135" spans="2:5" ht="12.75" customHeight="1" x14ac:dyDescent="0.35">
      <c r="B135" s="55"/>
      <c r="D135" s="31"/>
      <c r="E135" s="31"/>
    </row>
    <row r="136" spans="2:5" ht="12.75" customHeight="1" x14ac:dyDescent="0.35">
      <c r="B136" s="55"/>
      <c r="D136" s="31"/>
      <c r="E136" s="31"/>
    </row>
    <row r="137" spans="2:5" ht="12.75" customHeight="1" x14ac:dyDescent="0.35">
      <c r="B137" s="54"/>
      <c r="D137" s="31"/>
      <c r="E137" s="31"/>
    </row>
    <row r="138" spans="2:5" ht="12.75" customHeight="1" x14ac:dyDescent="0.35">
      <c r="B138" s="55"/>
      <c r="D138" s="31"/>
      <c r="E138" s="31"/>
    </row>
    <row r="139" spans="2:5" ht="12.75" customHeight="1" x14ac:dyDescent="0.35">
      <c r="B139" s="54"/>
      <c r="D139" s="31"/>
      <c r="E139" s="31"/>
    </row>
    <row r="140" spans="2:5" ht="12.75" customHeight="1" x14ac:dyDescent="0.35">
      <c r="B140" s="54"/>
      <c r="D140" s="31"/>
      <c r="E140" s="31"/>
    </row>
    <row r="141" spans="2:5" ht="12.75" customHeight="1" x14ac:dyDescent="0.35">
      <c r="B141" s="54"/>
      <c r="D141" s="31"/>
      <c r="E141" s="31"/>
    </row>
    <row r="142" spans="2:5" ht="12.75" customHeight="1" x14ac:dyDescent="0.35">
      <c r="B142" s="54"/>
      <c r="D142" s="31"/>
      <c r="E142" s="31"/>
    </row>
    <row r="143" spans="2:5" ht="12.75" customHeight="1" x14ac:dyDescent="0.35">
      <c r="B143" s="54"/>
      <c r="D143" s="31"/>
      <c r="E143" s="31"/>
    </row>
    <row r="144" spans="2:5" ht="12.75" customHeight="1" x14ac:dyDescent="0.35">
      <c r="B144" s="54"/>
      <c r="D144" s="31"/>
      <c r="E144" s="31"/>
    </row>
    <row r="145" spans="2:5" ht="12.75" customHeight="1" x14ac:dyDescent="0.35">
      <c r="B145" s="54"/>
      <c r="D145" s="31"/>
      <c r="E145" s="31"/>
    </row>
    <row r="146" spans="2:5" ht="12.75" customHeight="1" x14ac:dyDescent="0.35">
      <c r="B146" s="54"/>
      <c r="D146" s="31"/>
      <c r="E146" s="31"/>
    </row>
    <row r="147" spans="2:5" ht="12.75" customHeight="1" x14ac:dyDescent="0.35">
      <c r="B147" s="54"/>
      <c r="D147" s="31"/>
      <c r="E147" s="31"/>
    </row>
    <row r="148" spans="2:5" ht="12.75" customHeight="1" x14ac:dyDescent="0.35">
      <c r="B148" s="54"/>
      <c r="D148" s="31"/>
      <c r="E148" s="31"/>
    </row>
    <row r="149" spans="2:5" ht="12.75" customHeight="1" x14ac:dyDescent="0.35">
      <c r="B149" s="54"/>
      <c r="D149" s="31"/>
      <c r="E149" s="31"/>
    </row>
    <row r="150" spans="2:5" ht="12.75" customHeight="1" x14ac:dyDescent="0.35">
      <c r="B150" s="54"/>
      <c r="D150" s="31"/>
      <c r="E150" s="31"/>
    </row>
    <row r="151" spans="2:5" ht="12.75" customHeight="1" x14ac:dyDescent="0.35">
      <c r="B151" s="54"/>
      <c r="D151" s="31"/>
      <c r="E151" s="31"/>
    </row>
    <row r="152" spans="2:5" ht="12.75" customHeight="1" x14ac:dyDescent="0.35">
      <c r="B152" s="31"/>
      <c r="D152" s="31"/>
      <c r="E152" s="31"/>
    </row>
    <row r="153" spans="2:5" ht="12.75" customHeight="1" x14ac:dyDescent="0.35">
      <c r="B153" s="31"/>
      <c r="D153" s="31"/>
      <c r="E153" s="31"/>
    </row>
    <row r="154" spans="2:5" ht="12.75" customHeight="1" x14ac:dyDescent="0.35">
      <c r="B154" s="31"/>
      <c r="D154" s="31"/>
      <c r="E154" s="31"/>
    </row>
    <row r="155" spans="2:5" ht="12.75" customHeight="1" x14ac:dyDescent="0.35">
      <c r="B155" s="31"/>
      <c r="D155" s="31"/>
      <c r="E155" s="31"/>
    </row>
    <row r="156" spans="2:5" ht="12.75" customHeight="1" x14ac:dyDescent="0.35">
      <c r="B156" s="31"/>
      <c r="D156" s="31"/>
      <c r="E156" s="31"/>
    </row>
    <row r="157" spans="2:5" ht="12.75" customHeight="1" x14ac:dyDescent="0.35">
      <c r="B157" s="31"/>
      <c r="D157" s="31"/>
      <c r="E157" s="31"/>
    </row>
    <row r="158" spans="2:5" ht="12.75" customHeight="1" x14ac:dyDescent="0.35">
      <c r="B158" s="31"/>
      <c r="D158" s="31"/>
      <c r="E158" s="31"/>
    </row>
    <row r="159" spans="2:5" ht="12.75" customHeight="1" x14ac:dyDescent="0.35">
      <c r="B159" s="31"/>
      <c r="D159" s="31"/>
      <c r="E159" s="31"/>
    </row>
    <row r="160" spans="2:5" ht="12.75" customHeight="1" x14ac:dyDescent="0.35">
      <c r="B160" s="31"/>
      <c r="D160" s="31"/>
      <c r="E160" s="31"/>
    </row>
    <row r="161" spans="2:5" ht="12.75" customHeight="1" x14ac:dyDescent="0.35">
      <c r="B161" s="31"/>
      <c r="D161" s="31"/>
      <c r="E161" s="31"/>
    </row>
    <row r="162" spans="2:5" ht="12.75" customHeight="1" x14ac:dyDescent="0.35">
      <c r="B162" s="31"/>
      <c r="D162" s="31"/>
      <c r="E162" s="31"/>
    </row>
    <row r="163" spans="2:5" ht="12.75" customHeight="1" x14ac:dyDescent="0.35">
      <c r="B163" s="31"/>
      <c r="D163" s="31"/>
      <c r="E163" s="31"/>
    </row>
    <row r="164" spans="2:5" ht="12.75" customHeight="1" x14ac:dyDescent="0.35">
      <c r="B164" s="31"/>
      <c r="D164" s="31"/>
      <c r="E164" s="31"/>
    </row>
    <row r="165" spans="2:5" ht="12.75" customHeight="1" x14ac:dyDescent="0.35">
      <c r="B165" s="31"/>
      <c r="D165" s="31"/>
      <c r="E165" s="31"/>
    </row>
    <row r="166" spans="2:5" ht="12.75" customHeight="1" x14ac:dyDescent="0.35">
      <c r="B166" s="31"/>
      <c r="D166" s="31"/>
      <c r="E166" s="31"/>
    </row>
    <row r="167" spans="2:5" ht="12.75" customHeight="1" x14ac:dyDescent="0.35">
      <c r="B167" s="31"/>
      <c r="D167" s="31"/>
      <c r="E167" s="31"/>
    </row>
    <row r="168" spans="2:5" ht="12.75" customHeight="1" x14ac:dyDescent="0.35">
      <c r="B168" s="31"/>
      <c r="D168" s="31"/>
      <c r="E168" s="31"/>
    </row>
    <row r="169" spans="2:5" ht="12.75" customHeight="1" x14ac:dyDescent="0.35">
      <c r="B169" s="31"/>
      <c r="D169" s="31"/>
      <c r="E169" s="31"/>
    </row>
    <row r="170" spans="2:5" ht="12.75" customHeight="1" x14ac:dyDescent="0.35">
      <c r="B170" s="31"/>
      <c r="D170" s="31"/>
      <c r="E170" s="31"/>
    </row>
    <row r="171" spans="2:5" ht="12.75" customHeight="1" x14ac:dyDescent="0.35">
      <c r="B171" s="31"/>
      <c r="D171" s="31"/>
      <c r="E171" s="31"/>
    </row>
    <row r="172" spans="2:5" ht="12.75" customHeight="1" x14ac:dyDescent="0.35">
      <c r="B172" s="31"/>
      <c r="D172" s="31"/>
      <c r="E172" s="31"/>
    </row>
    <row r="173" spans="2:5" ht="12.75" customHeight="1" x14ac:dyDescent="0.35">
      <c r="B173" s="31"/>
      <c r="D173" s="31"/>
      <c r="E173" s="31"/>
    </row>
    <row r="174" spans="2:5" ht="12.75" customHeight="1" x14ac:dyDescent="0.35">
      <c r="B174" s="31"/>
      <c r="D174" s="31"/>
      <c r="E174" s="31"/>
    </row>
    <row r="175" spans="2:5" ht="12.75" customHeight="1" x14ac:dyDescent="0.35">
      <c r="B175" s="31"/>
      <c r="D175" s="31"/>
      <c r="E175" s="31"/>
    </row>
    <row r="176" spans="2:5" ht="12.75" customHeight="1" x14ac:dyDescent="0.35">
      <c r="B176" s="31"/>
      <c r="D176" s="31"/>
      <c r="E176" s="31"/>
    </row>
    <row r="177" spans="2:5" ht="12.75" customHeight="1" x14ac:dyDescent="0.35">
      <c r="B177" s="31"/>
      <c r="D177" s="31"/>
      <c r="E177" s="31"/>
    </row>
    <row r="178" spans="2:5" ht="12.75" customHeight="1" x14ac:dyDescent="0.35">
      <c r="B178" s="31"/>
      <c r="D178" s="31"/>
      <c r="E178" s="31"/>
    </row>
    <row r="179" spans="2:5" ht="12.75" customHeight="1" x14ac:dyDescent="0.35">
      <c r="B179" s="31"/>
      <c r="D179" s="31"/>
      <c r="E179" s="31"/>
    </row>
    <row r="180" spans="2:5" ht="12.75" customHeight="1" x14ac:dyDescent="0.35">
      <c r="B180" s="31"/>
      <c r="D180" s="31"/>
      <c r="E180" s="31"/>
    </row>
    <row r="181" spans="2:5" ht="12.75" customHeight="1" x14ac:dyDescent="0.35">
      <c r="B181" s="31"/>
      <c r="D181" s="31"/>
      <c r="E181" s="31"/>
    </row>
    <row r="182" spans="2:5" ht="12.75" customHeight="1" x14ac:dyDescent="0.35">
      <c r="B182" s="31"/>
      <c r="D182" s="31"/>
      <c r="E182" s="31"/>
    </row>
    <row r="183" spans="2:5" ht="12.75" customHeight="1" x14ac:dyDescent="0.35">
      <c r="B183" s="31"/>
      <c r="D183" s="31"/>
      <c r="E183" s="31"/>
    </row>
    <row r="184" spans="2:5" ht="12.75" customHeight="1" x14ac:dyDescent="0.35">
      <c r="B184" s="31"/>
      <c r="D184" s="31"/>
      <c r="E184" s="31"/>
    </row>
    <row r="185" spans="2:5" ht="12.75" customHeight="1" x14ac:dyDescent="0.35">
      <c r="B185" s="31"/>
      <c r="D185" s="31"/>
      <c r="E185" s="31"/>
    </row>
    <row r="186" spans="2:5" ht="12.75" customHeight="1" x14ac:dyDescent="0.35">
      <c r="B186" s="31"/>
      <c r="D186" s="31"/>
      <c r="E186" s="31"/>
    </row>
    <row r="187" spans="2:5" ht="12.75" customHeight="1" x14ac:dyDescent="0.35">
      <c r="B187" s="31"/>
      <c r="D187" s="31"/>
      <c r="E187" s="31"/>
    </row>
    <row r="188" spans="2:5" ht="12.75" customHeight="1" x14ac:dyDescent="0.35">
      <c r="B188" s="31"/>
      <c r="D188" s="31"/>
      <c r="E188" s="31"/>
    </row>
    <row r="189" spans="2:5" ht="12.75" customHeight="1" x14ac:dyDescent="0.35">
      <c r="B189" s="31"/>
      <c r="D189" s="31"/>
      <c r="E189" s="31"/>
    </row>
    <row r="190" spans="2:5" ht="12.75" customHeight="1" x14ac:dyDescent="0.35">
      <c r="B190" s="31"/>
      <c r="D190" s="31"/>
      <c r="E190" s="31"/>
    </row>
    <row r="191" spans="2:5" ht="12.75" customHeight="1" x14ac:dyDescent="0.35">
      <c r="B191" s="31"/>
      <c r="D191" s="31"/>
      <c r="E191" s="31"/>
    </row>
    <row r="192" spans="2:5" ht="12.75" customHeight="1" x14ac:dyDescent="0.35">
      <c r="B192" s="31"/>
      <c r="D192" s="31"/>
      <c r="E192" s="31"/>
    </row>
    <row r="193" spans="2:5" ht="12.75" customHeight="1" x14ac:dyDescent="0.35">
      <c r="B193" s="31"/>
      <c r="D193" s="31"/>
      <c r="E193" s="31"/>
    </row>
    <row r="194" spans="2:5" ht="12.75" customHeight="1" x14ac:dyDescent="0.35">
      <c r="B194" s="31"/>
      <c r="D194" s="31"/>
      <c r="E194" s="31"/>
    </row>
    <row r="195" spans="2:5" ht="12.75" customHeight="1" x14ac:dyDescent="0.35">
      <c r="B195" s="31"/>
      <c r="D195" s="31"/>
      <c r="E195" s="31"/>
    </row>
    <row r="196" spans="2:5" ht="12.75" customHeight="1" x14ac:dyDescent="0.35">
      <c r="B196" s="31"/>
      <c r="D196" s="31"/>
      <c r="E196" s="31"/>
    </row>
    <row r="197" spans="2:5" ht="12.75" customHeight="1" x14ac:dyDescent="0.35">
      <c r="B197" s="31"/>
      <c r="D197" s="31"/>
      <c r="E197" s="31"/>
    </row>
    <row r="198" spans="2:5" ht="12.75" customHeight="1" x14ac:dyDescent="0.35">
      <c r="B198" s="31"/>
      <c r="D198" s="31"/>
      <c r="E198" s="31"/>
    </row>
    <row r="199" spans="2:5" ht="12.75" customHeight="1" x14ac:dyDescent="0.35">
      <c r="B199" s="31"/>
      <c r="D199" s="31"/>
      <c r="E199" s="31"/>
    </row>
    <row r="200" spans="2:5" ht="12.75" customHeight="1" x14ac:dyDescent="0.35">
      <c r="B200" s="31"/>
      <c r="D200" s="31"/>
      <c r="E200" s="31"/>
    </row>
    <row r="201" spans="2:5" ht="12.75" customHeight="1" x14ac:dyDescent="0.35">
      <c r="B201" s="31"/>
      <c r="D201" s="31"/>
      <c r="E201" s="31"/>
    </row>
    <row r="202" spans="2:5" ht="12.75" customHeight="1" x14ac:dyDescent="0.35">
      <c r="B202" s="31"/>
      <c r="D202" s="31"/>
      <c r="E202" s="31"/>
    </row>
    <row r="203" spans="2:5" ht="12.75" customHeight="1" x14ac:dyDescent="0.35">
      <c r="B203" s="31"/>
      <c r="D203" s="31"/>
      <c r="E203" s="31"/>
    </row>
    <row r="204" spans="2:5" ht="12.75" customHeight="1" x14ac:dyDescent="0.35">
      <c r="B204" s="31"/>
      <c r="D204" s="31"/>
      <c r="E204" s="31"/>
    </row>
    <row r="205" spans="2:5" ht="12.75" customHeight="1" x14ac:dyDescent="0.35">
      <c r="B205" s="31"/>
      <c r="D205" s="31"/>
      <c r="E205" s="31"/>
    </row>
    <row r="206" spans="2:5" ht="12.75" customHeight="1" x14ac:dyDescent="0.35">
      <c r="B206" s="31"/>
      <c r="D206" s="31"/>
      <c r="E206" s="31"/>
    </row>
    <row r="207" spans="2:5" ht="12.75" customHeight="1" x14ac:dyDescent="0.35">
      <c r="B207" s="31"/>
      <c r="D207" s="31"/>
      <c r="E207" s="31"/>
    </row>
    <row r="208" spans="2:5" ht="12.75" customHeight="1" x14ac:dyDescent="0.35">
      <c r="B208" s="31"/>
      <c r="D208" s="31"/>
      <c r="E208" s="31"/>
    </row>
    <row r="209" spans="2:5" ht="12.75" customHeight="1" x14ac:dyDescent="0.35">
      <c r="B209" s="31"/>
      <c r="D209" s="31"/>
      <c r="E209" s="31"/>
    </row>
    <row r="210" spans="2:5" ht="12.75" customHeight="1" x14ac:dyDescent="0.35">
      <c r="B210" s="31"/>
      <c r="D210" s="31"/>
      <c r="E210" s="31"/>
    </row>
    <row r="211" spans="2:5" ht="12.75" customHeight="1" x14ac:dyDescent="0.35">
      <c r="B211" s="31"/>
      <c r="D211" s="31"/>
      <c r="E211" s="31"/>
    </row>
    <row r="212" spans="2:5" ht="12.75" customHeight="1" x14ac:dyDescent="0.35">
      <c r="B212" s="31"/>
      <c r="D212" s="31"/>
      <c r="E212" s="31"/>
    </row>
    <row r="213" spans="2:5" ht="12.75" customHeight="1" x14ac:dyDescent="0.35">
      <c r="B213" s="31"/>
      <c r="D213" s="31"/>
      <c r="E213" s="31"/>
    </row>
    <row r="214" spans="2:5" ht="12.75" customHeight="1" x14ac:dyDescent="0.35">
      <c r="B214" s="31"/>
      <c r="D214" s="31"/>
      <c r="E214" s="31"/>
    </row>
    <row r="215" spans="2:5" ht="12.75" customHeight="1" x14ac:dyDescent="0.35">
      <c r="B215" s="31"/>
      <c r="D215" s="31"/>
      <c r="E215" s="31"/>
    </row>
    <row r="216" spans="2:5" ht="12.75" customHeight="1" x14ac:dyDescent="0.35">
      <c r="B216" s="31"/>
      <c r="D216" s="31"/>
      <c r="E216" s="31"/>
    </row>
    <row r="217" spans="2:5" ht="12.75" customHeight="1" x14ac:dyDescent="0.35">
      <c r="B217" s="31"/>
      <c r="D217" s="31"/>
      <c r="E217" s="31"/>
    </row>
    <row r="218" spans="2:5" ht="12.75" customHeight="1" x14ac:dyDescent="0.35">
      <c r="B218" s="31"/>
      <c r="D218" s="31"/>
      <c r="E218" s="31"/>
    </row>
    <row r="219" spans="2:5" ht="12.75" customHeight="1" x14ac:dyDescent="0.35">
      <c r="B219" s="31"/>
      <c r="D219" s="31"/>
      <c r="E219" s="31"/>
    </row>
    <row r="220" spans="2:5" ht="12.75" customHeight="1" x14ac:dyDescent="0.35">
      <c r="B220" s="31"/>
      <c r="D220" s="31"/>
      <c r="E220" s="31"/>
    </row>
    <row r="221" spans="2:5" ht="12.75" customHeight="1" x14ac:dyDescent="0.35">
      <c r="B221" s="31"/>
      <c r="D221" s="31"/>
      <c r="E221" s="31"/>
    </row>
    <row r="222" spans="2:5" ht="12.75" customHeight="1" x14ac:dyDescent="0.35">
      <c r="B222" s="31"/>
      <c r="D222" s="31"/>
      <c r="E222" s="31"/>
    </row>
    <row r="223" spans="2:5" ht="12.75" customHeight="1" x14ac:dyDescent="0.35">
      <c r="B223" s="31"/>
      <c r="D223" s="31"/>
      <c r="E223" s="31"/>
    </row>
    <row r="224" spans="2:5" ht="12.75" customHeight="1" x14ac:dyDescent="0.35">
      <c r="B224" s="31"/>
      <c r="D224" s="31"/>
      <c r="E224" s="31"/>
    </row>
    <row r="225" spans="2:5" ht="12.75" customHeight="1" x14ac:dyDescent="0.35">
      <c r="B225" s="31"/>
      <c r="D225" s="31"/>
      <c r="E225" s="31"/>
    </row>
    <row r="226" spans="2:5" ht="12.75" customHeight="1" x14ac:dyDescent="0.35">
      <c r="B226" s="31"/>
      <c r="D226" s="31"/>
      <c r="E226" s="31"/>
    </row>
    <row r="227" spans="2:5" ht="12.75" customHeight="1" x14ac:dyDescent="0.35">
      <c r="B227" s="31"/>
      <c r="D227" s="31"/>
      <c r="E227" s="31"/>
    </row>
    <row r="228" spans="2:5" ht="12.75" customHeight="1" x14ac:dyDescent="0.35">
      <c r="B228" s="31"/>
      <c r="D228" s="31"/>
      <c r="E228" s="31"/>
    </row>
    <row r="229" spans="2:5" ht="12.75" customHeight="1" x14ac:dyDescent="0.35">
      <c r="B229" s="31"/>
      <c r="D229" s="31"/>
      <c r="E229" s="31"/>
    </row>
    <row r="230" spans="2:5" ht="12.75" customHeight="1" x14ac:dyDescent="0.35">
      <c r="B230" s="31"/>
      <c r="D230" s="31"/>
      <c r="E230" s="31"/>
    </row>
    <row r="231" spans="2:5" ht="12.75" customHeight="1" x14ac:dyDescent="0.35">
      <c r="B231" s="31"/>
      <c r="D231" s="31"/>
      <c r="E231" s="31"/>
    </row>
    <row r="232" spans="2:5" ht="12.75" customHeight="1" x14ac:dyDescent="0.35">
      <c r="B232" s="31"/>
      <c r="D232" s="31"/>
      <c r="E232" s="31"/>
    </row>
    <row r="233" spans="2:5" ht="12.75" customHeight="1" x14ac:dyDescent="0.35">
      <c r="B233" s="31"/>
      <c r="D233" s="31"/>
      <c r="E233" s="31"/>
    </row>
    <row r="234" spans="2:5" ht="12.75" customHeight="1" x14ac:dyDescent="0.35">
      <c r="B234" s="31"/>
      <c r="D234" s="31"/>
      <c r="E234" s="31"/>
    </row>
    <row r="235" spans="2:5" ht="12.75" customHeight="1" x14ac:dyDescent="0.35">
      <c r="B235" s="31"/>
      <c r="D235" s="31"/>
      <c r="E235" s="31"/>
    </row>
    <row r="236" spans="2:5" ht="12.75" customHeight="1" x14ac:dyDescent="0.35">
      <c r="B236" s="31"/>
      <c r="D236" s="31"/>
      <c r="E236" s="31"/>
    </row>
    <row r="237" spans="2:5" ht="12.75" customHeight="1" x14ac:dyDescent="0.35">
      <c r="B237" s="31"/>
      <c r="D237" s="31"/>
      <c r="E237" s="31"/>
    </row>
    <row r="238" spans="2:5" ht="12.75" customHeight="1" x14ac:dyDescent="0.35">
      <c r="B238" s="31"/>
      <c r="D238" s="31"/>
      <c r="E238" s="31"/>
    </row>
    <row r="239" spans="2:5" ht="12.75" customHeight="1" x14ac:dyDescent="0.35">
      <c r="B239" s="31"/>
      <c r="D239" s="31"/>
      <c r="E239" s="31"/>
    </row>
    <row r="240" spans="2:5" ht="12.75" customHeight="1" x14ac:dyDescent="0.35">
      <c r="B240" s="31"/>
      <c r="D240" s="31"/>
      <c r="E240" s="31"/>
    </row>
    <row r="241" spans="2:5" ht="12.75" customHeight="1" x14ac:dyDescent="0.35">
      <c r="B241" s="31"/>
      <c r="D241" s="31"/>
      <c r="E241" s="31"/>
    </row>
    <row r="242" spans="2:5" ht="12.75" customHeight="1" x14ac:dyDescent="0.35">
      <c r="B242" s="31"/>
      <c r="D242" s="31"/>
      <c r="E242" s="31"/>
    </row>
    <row r="243" spans="2:5" ht="12.75" customHeight="1" x14ac:dyDescent="0.35">
      <c r="B243" s="31"/>
      <c r="D243" s="31"/>
      <c r="E243" s="31"/>
    </row>
    <row r="244" spans="2:5" ht="12.75" customHeight="1" x14ac:dyDescent="0.35">
      <c r="B244" s="31"/>
      <c r="D244" s="31"/>
      <c r="E244" s="31"/>
    </row>
    <row r="245" spans="2:5" ht="12.75" customHeight="1" x14ac:dyDescent="0.35">
      <c r="B245" s="31"/>
      <c r="D245" s="31"/>
      <c r="E245" s="31"/>
    </row>
    <row r="246" spans="2:5" ht="12.75" customHeight="1" x14ac:dyDescent="0.35">
      <c r="B246" s="31"/>
      <c r="D246" s="31"/>
      <c r="E246" s="31"/>
    </row>
    <row r="247" spans="2:5" ht="12.75" customHeight="1" x14ac:dyDescent="0.35">
      <c r="B247" s="31"/>
      <c r="D247" s="31"/>
      <c r="E247" s="31"/>
    </row>
    <row r="248" spans="2:5" ht="12.75" customHeight="1" x14ac:dyDescent="0.35">
      <c r="B248" s="31"/>
      <c r="D248" s="31"/>
      <c r="E248" s="31"/>
    </row>
    <row r="249" spans="2:5" ht="12.75" customHeight="1" x14ac:dyDescent="0.35">
      <c r="B249" s="31"/>
      <c r="D249" s="31"/>
      <c r="E249" s="31"/>
    </row>
    <row r="250" spans="2:5" ht="12.75" customHeight="1" x14ac:dyDescent="0.35">
      <c r="B250" s="31"/>
      <c r="D250" s="31"/>
      <c r="E250" s="31"/>
    </row>
    <row r="251" spans="2:5" ht="12.75" customHeight="1" x14ac:dyDescent="0.35">
      <c r="B251" s="31"/>
      <c r="D251" s="31"/>
      <c r="E251" s="31"/>
    </row>
    <row r="252" spans="2:5" ht="12.75" customHeight="1" x14ac:dyDescent="0.35">
      <c r="B252" s="31"/>
      <c r="D252" s="31"/>
      <c r="E252" s="31"/>
    </row>
    <row r="253" spans="2:5" ht="12.75" customHeight="1" x14ac:dyDescent="0.35">
      <c r="B253" s="31"/>
      <c r="D253" s="31"/>
      <c r="E253" s="31"/>
    </row>
    <row r="254" spans="2:5" ht="12.75" customHeight="1" x14ac:dyDescent="0.35">
      <c r="B254" s="31"/>
      <c r="D254" s="31"/>
      <c r="E254" s="31"/>
    </row>
    <row r="255" spans="2:5" ht="12.75" customHeight="1" x14ac:dyDescent="0.35">
      <c r="B255" s="31"/>
      <c r="D255" s="31"/>
      <c r="E255" s="31"/>
    </row>
    <row r="256" spans="2:5" ht="12.75" customHeight="1" x14ac:dyDescent="0.35">
      <c r="B256" s="31"/>
      <c r="D256" s="31"/>
      <c r="E256" s="31"/>
    </row>
    <row r="257" spans="2:5" ht="12.75" customHeight="1" x14ac:dyDescent="0.35">
      <c r="B257" s="31"/>
      <c r="D257" s="31"/>
      <c r="E257" s="31"/>
    </row>
    <row r="258" spans="2:5" ht="12.75" customHeight="1" x14ac:dyDescent="0.35">
      <c r="B258" s="31"/>
      <c r="D258" s="31"/>
      <c r="E258" s="31"/>
    </row>
    <row r="259" spans="2:5" ht="12.75" customHeight="1" x14ac:dyDescent="0.35">
      <c r="B259" s="31"/>
      <c r="D259" s="31"/>
      <c r="E259" s="31"/>
    </row>
    <row r="260" spans="2:5" ht="12.75" customHeight="1" x14ac:dyDescent="0.35">
      <c r="B260" s="31"/>
      <c r="D260" s="31"/>
      <c r="E260" s="31"/>
    </row>
    <row r="261" spans="2:5" ht="12.75" customHeight="1" x14ac:dyDescent="0.35">
      <c r="B261" s="31"/>
      <c r="D261" s="31"/>
      <c r="E261" s="31"/>
    </row>
    <row r="262" spans="2:5" ht="12.75" customHeight="1" x14ac:dyDescent="0.35">
      <c r="B262" s="31"/>
      <c r="D262" s="31"/>
      <c r="E262" s="31"/>
    </row>
    <row r="263" spans="2:5" ht="12.75" customHeight="1" x14ac:dyDescent="0.35">
      <c r="B263" s="31"/>
      <c r="D263" s="31"/>
      <c r="E263" s="31"/>
    </row>
    <row r="264" spans="2:5" ht="12.75" customHeight="1" x14ac:dyDescent="0.35">
      <c r="B264" s="31"/>
      <c r="D264" s="31"/>
      <c r="E264" s="31"/>
    </row>
    <row r="265" spans="2:5" ht="12.75" customHeight="1" x14ac:dyDescent="0.35">
      <c r="B265" s="31"/>
      <c r="D265" s="31"/>
      <c r="E265" s="31"/>
    </row>
    <row r="266" spans="2:5" ht="12.75" customHeight="1" x14ac:dyDescent="0.35">
      <c r="B266" s="31"/>
      <c r="D266" s="31"/>
      <c r="E266" s="31"/>
    </row>
    <row r="267" spans="2:5" ht="12.75" customHeight="1" x14ac:dyDescent="0.35">
      <c r="B267" s="31"/>
      <c r="D267" s="31"/>
      <c r="E267" s="31"/>
    </row>
    <row r="268" spans="2:5" ht="12.75" customHeight="1" x14ac:dyDescent="0.35">
      <c r="B268" s="31"/>
      <c r="D268" s="31"/>
      <c r="E268" s="31"/>
    </row>
    <row r="269" spans="2:5" ht="12.75" customHeight="1" x14ac:dyDescent="0.35">
      <c r="B269" s="31"/>
      <c r="D269" s="31"/>
      <c r="E269" s="31"/>
    </row>
    <row r="270" spans="2:5" ht="12.75" customHeight="1" x14ac:dyDescent="0.35">
      <c r="B270" s="31"/>
      <c r="D270" s="31"/>
      <c r="E270" s="31"/>
    </row>
    <row r="271" spans="2:5" ht="12.75" customHeight="1" x14ac:dyDescent="0.35">
      <c r="B271" s="31"/>
      <c r="D271" s="31"/>
      <c r="E271" s="31"/>
    </row>
    <row r="272" spans="2:5" ht="12.75" customHeight="1" x14ac:dyDescent="0.35">
      <c r="B272" s="31"/>
      <c r="D272" s="31"/>
      <c r="E272" s="31"/>
    </row>
    <row r="273" spans="2:5" ht="12.75" customHeight="1" x14ac:dyDescent="0.35">
      <c r="B273" s="31"/>
      <c r="D273" s="31"/>
      <c r="E273" s="31"/>
    </row>
    <row r="274" spans="2:5" ht="12.75" customHeight="1" x14ac:dyDescent="0.35">
      <c r="B274" s="31"/>
      <c r="D274" s="31"/>
      <c r="E274" s="31"/>
    </row>
    <row r="275" spans="2:5" ht="12.75" customHeight="1" x14ac:dyDescent="0.35">
      <c r="B275" s="31"/>
      <c r="D275" s="31"/>
      <c r="E275" s="31"/>
    </row>
    <row r="276" spans="2:5" ht="12.75" customHeight="1" x14ac:dyDescent="0.35">
      <c r="B276" s="31"/>
      <c r="D276" s="31"/>
      <c r="E276" s="31"/>
    </row>
    <row r="277" spans="2:5" ht="12.75" customHeight="1" x14ac:dyDescent="0.35">
      <c r="B277" s="31"/>
      <c r="D277" s="31"/>
      <c r="E277" s="31"/>
    </row>
    <row r="278" spans="2:5" ht="12.75" customHeight="1" x14ac:dyDescent="0.35">
      <c r="B278" s="31"/>
      <c r="D278" s="31"/>
      <c r="E278" s="31"/>
    </row>
    <row r="279" spans="2:5" ht="12.75" customHeight="1" x14ac:dyDescent="0.35">
      <c r="B279" s="31"/>
      <c r="D279" s="31"/>
      <c r="E279" s="31"/>
    </row>
    <row r="280" spans="2:5" ht="12.75" customHeight="1" x14ac:dyDescent="0.35">
      <c r="B280" s="31"/>
      <c r="D280" s="31"/>
      <c r="E280" s="31"/>
    </row>
    <row r="281" spans="2:5" ht="12.75" customHeight="1" x14ac:dyDescent="0.35">
      <c r="B281" s="31"/>
      <c r="D281" s="31"/>
      <c r="E281" s="31"/>
    </row>
    <row r="282" spans="2:5" ht="12.75" customHeight="1" x14ac:dyDescent="0.35">
      <c r="B282" s="31"/>
      <c r="D282" s="31"/>
      <c r="E282" s="31"/>
    </row>
    <row r="283" spans="2:5" ht="12.75" customHeight="1" x14ac:dyDescent="0.35">
      <c r="B283" s="31"/>
      <c r="D283" s="31"/>
      <c r="E283" s="31"/>
    </row>
    <row r="284" spans="2:5" ht="12.75" customHeight="1" x14ac:dyDescent="0.35">
      <c r="B284" s="31"/>
      <c r="D284" s="31"/>
      <c r="E284" s="31"/>
    </row>
    <row r="285" spans="2:5" ht="12.75" customHeight="1" x14ac:dyDescent="0.35">
      <c r="B285" s="31"/>
      <c r="D285" s="31"/>
      <c r="E285" s="31"/>
    </row>
    <row r="286" spans="2:5" ht="12.75" customHeight="1" x14ac:dyDescent="0.35">
      <c r="B286" s="31"/>
      <c r="D286" s="31"/>
      <c r="E286" s="31"/>
    </row>
    <row r="287" spans="2:5" ht="12.75" customHeight="1" x14ac:dyDescent="0.35">
      <c r="B287" s="31"/>
      <c r="D287" s="31"/>
      <c r="E287" s="31"/>
    </row>
    <row r="288" spans="2:5" ht="12.75" customHeight="1" x14ac:dyDescent="0.35">
      <c r="B288" s="31"/>
      <c r="D288" s="31"/>
      <c r="E288" s="31"/>
    </row>
    <row r="289" spans="2:5" ht="12.75" customHeight="1" x14ac:dyDescent="0.35">
      <c r="B289" s="31"/>
      <c r="D289" s="31"/>
      <c r="E289" s="31"/>
    </row>
    <row r="290" spans="2:5" ht="12.75" customHeight="1" x14ac:dyDescent="0.35">
      <c r="B290" s="31"/>
      <c r="D290" s="31"/>
      <c r="E290" s="31"/>
    </row>
    <row r="291" spans="2:5" ht="12.75" customHeight="1" x14ac:dyDescent="0.35">
      <c r="B291" s="31"/>
      <c r="D291" s="31"/>
      <c r="E291" s="31"/>
    </row>
    <row r="292" spans="2:5" ht="12.75" customHeight="1" x14ac:dyDescent="0.35">
      <c r="B292" s="31"/>
      <c r="D292" s="31"/>
      <c r="E292" s="31"/>
    </row>
    <row r="293" spans="2:5" ht="12.75" customHeight="1" x14ac:dyDescent="0.35">
      <c r="B293" s="31"/>
      <c r="D293" s="31"/>
      <c r="E293" s="31"/>
    </row>
    <row r="294" spans="2:5" ht="12.75" customHeight="1" x14ac:dyDescent="0.35">
      <c r="B294" s="31"/>
      <c r="D294" s="31"/>
      <c r="E294" s="31"/>
    </row>
    <row r="295" spans="2:5" ht="12.75" customHeight="1" x14ac:dyDescent="0.35">
      <c r="B295" s="31"/>
      <c r="D295" s="31"/>
      <c r="E295" s="31"/>
    </row>
    <row r="296" spans="2:5" ht="12.75" customHeight="1" x14ac:dyDescent="0.35">
      <c r="B296" s="31"/>
      <c r="D296" s="31"/>
      <c r="E296" s="31"/>
    </row>
    <row r="297" spans="2:5" ht="12.75" customHeight="1" x14ac:dyDescent="0.35">
      <c r="B297" s="31"/>
      <c r="D297" s="31"/>
      <c r="E297" s="31"/>
    </row>
    <row r="298" spans="2:5" ht="12.75" customHeight="1" x14ac:dyDescent="0.35">
      <c r="B298" s="31"/>
      <c r="D298" s="31"/>
      <c r="E298" s="31"/>
    </row>
    <row r="299" spans="2:5" ht="12.75" customHeight="1" x14ac:dyDescent="0.35">
      <c r="B299" s="31"/>
      <c r="D299" s="31"/>
      <c r="E299" s="31"/>
    </row>
    <row r="300" spans="2:5" ht="12.75" customHeight="1" x14ac:dyDescent="0.35">
      <c r="B300" s="31"/>
      <c r="D300" s="31"/>
      <c r="E300" s="31"/>
    </row>
    <row r="301" spans="2:5" ht="12.75" customHeight="1" x14ac:dyDescent="0.35">
      <c r="B301" s="31"/>
      <c r="D301" s="31"/>
      <c r="E301" s="31"/>
    </row>
    <row r="302" spans="2:5" ht="12.75" customHeight="1" x14ac:dyDescent="0.35">
      <c r="B302" s="31"/>
      <c r="D302" s="31"/>
      <c r="E302" s="31"/>
    </row>
    <row r="303" spans="2:5" ht="12.75" customHeight="1" x14ac:dyDescent="0.35">
      <c r="B303" s="31"/>
      <c r="D303" s="31"/>
      <c r="E303" s="31"/>
    </row>
    <row r="304" spans="2:5" ht="12.75" customHeight="1" x14ac:dyDescent="0.35">
      <c r="B304" s="31"/>
      <c r="D304" s="31"/>
      <c r="E304" s="31"/>
    </row>
    <row r="305" spans="2:5" ht="12.75" customHeight="1" x14ac:dyDescent="0.35">
      <c r="B305" s="31"/>
      <c r="D305" s="31"/>
      <c r="E305" s="31"/>
    </row>
    <row r="306" spans="2:5" ht="12.75" customHeight="1" x14ac:dyDescent="0.35">
      <c r="B306" s="31"/>
      <c r="D306" s="31"/>
      <c r="E306" s="31"/>
    </row>
    <row r="307" spans="2:5" ht="12.75" customHeight="1" x14ac:dyDescent="0.35">
      <c r="B307" s="31"/>
      <c r="D307" s="31"/>
      <c r="E307" s="31"/>
    </row>
    <row r="308" spans="2:5" ht="12.75" customHeight="1" x14ac:dyDescent="0.35">
      <c r="B308" s="31"/>
      <c r="D308" s="31"/>
      <c r="E308" s="31"/>
    </row>
    <row r="309" spans="2:5" ht="12.75" customHeight="1" x14ac:dyDescent="0.35">
      <c r="B309" s="31"/>
      <c r="D309" s="31"/>
      <c r="E309" s="31"/>
    </row>
    <row r="310" spans="2:5" ht="12.75" customHeight="1" x14ac:dyDescent="0.35">
      <c r="B310" s="31"/>
      <c r="D310" s="31"/>
      <c r="E310" s="31"/>
    </row>
    <row r="311" spans="2:5" ht="12.75" customHeight="1" x14ac:dyDescent="0.35">
      <c r="B311" s="31"/>
      <c r="D311" s="31"/>
      <c r="E311" s="31"/>
    </row>
    <row r="312" spans="2:5" ht="12.75" customHeight="1" x14ac:dyDescent="0.35">
      <c r="B312" s="31"/>
      <c r="D312" s="31"/>
      <c r="E312" s="31"/>
    </row>
    <row r="313" spans="2:5" ht="12.75" customHeight="1" x14ac:dyDescent="0.35">
      <c r="B313" s="31"/>
      <c r="D313" s="31"/>
      <c r="E313" s="31"/>
    </row>
    <row r="314" spans="2:5" ht="12.75" customHeight="1" x14ac:dyDescent="0.35">
      <c r="B314" s="31"/>
      <c r="D314" s="31"/>
      <c r="E314" s="31"/>
    </row>
    <row r="315" spans="2:5" ht="12.75" customHeight="1" x14ac:dyDescent="0.35">
      <c r="B315" s="31"/>
      <c r="D315" s="31"/>
      <c r="E315" s="31"/>
    </row>
    <row r="316" spans="2:5" ht="12.75" customHeight="1" x14ac:dyDescent="0.35">
      <c r="B316" s="31"/>
      <c r="D316" s="31"/>
      <c r="E316" s="31"/>
    </row>
    <row r="317" spans="2:5" ht="12.75" customHeight="1" x14ac:dyDescent="0.35">
      <c r="B317" s="31"/>
      <c r="D317" s="31"/>
      <c r="E317" s="31"/>
    </row>
    <row r="318" spans="2:5" ht="12.75" customHeight="1" x14ac:dyDescent="0.35">
      <c r="B318" s="31"/>
      <c r="D318" s="31"/>
      <c r="E318" s="31"/>
    </row>
    <row r="319" spans="2:5" ht="12.75" customHeight="1" x14ac:dyDescent="0.35">
      <c r="B319" s="31"/>
      <c r="D319" s="31"/>
      <c r="E319" s="31"/>
    </row>
    <row r="320" spans="2:5" ht="12.75" customHeight="1" x14ac:dyDescent="0.35">
      <c r="B320" s="31"/>
      <c r="D320" s="31"/>
      <c r="E320" s="31"/>
    </row>
    <row r="321" spans="2:5" ht="12.75" customHeight="1" x14ac:dyDescent="0.35">
      <c r="B321" s="31"/>
      <c r="D321" s="31"/>
      <c r="E321" s="31"/>
    </row>
    <row r="322" spans="2:5" ht="12.75" customHeight="1" x14ac:dyDescent="0.35">
      <c r="B322" s="31"/>
      <c r="D322" s="31"/>
      <c r="E322" s="31"/>
    </row>
    <row r="323" spans="2:5" ht="12.75" customHeight="1" x14ac:dyDescent="0.35">
      <c r="B323" s="31"/>
      <c r="D323" s="31"/>
      <c r="E323" s="31"/>
    </row>
    <row r="324" spans="2:5" ht="12.75" customHeight="1" x14ac:dyDescent="0.35">
      <c r="B324" s="31"/>
      <c r="D324" s="31"/>
      <c r="E324" s="31"/>
    </row>
    <row r="325" spans="2:5" ht="12.75" customHeight="1" x14ac:dyDescent="0.35">
      <c r="B325" s="31"/>
      <c r="D325" s="31"/>
      <c r="E325" s="31"/>
    </row>
    <row r="326" spans="2:5" ht="12.75" customHeight="1" x14ac:dyDescent="0.35">
      <c r="B326" s="31"/>
      <c r="D326" s="31"/>
      <c r="E326" s="31"/>
    </row>
    <row r="327" spans="2:5" ht="12.75" customHeight="1" x14ac:dyDescent="0.35">
      <c r="B327" s="31"/>
      <c r="D327" s="31"/>
      <c r="E327" s="31"/>
    </row>
    <row r="328" spans="2:5" ht="12.75" customHeight="1" x14ac:dyDescent="0.35">
      <c r="B328" s="31"/>
      <c r="D328" s="31"/>
      <c r="E328" s="31"/>
    </row>
    <row r="329" spans="2:5" ht="12.75" customHeight="1" x14ac:dyDescent="0.35">
      <c r="B329" s="31"/>
      <c r="D329" s="31"/>
      <c r="E329" s="31"/>
    </row>
    <row r="330" spans="2:5" ht="12.75" customHeight="1" x14ac:dyDescent="0.35">
      <c r="B330" s="31"/>
      <c r="D330" s="31"/>
      <c r="E330" s="31"/>
    </row>
    <row r="331" spans="2:5" ht="12.75" customHeight="1" x14ac:dyDescent="0.35">
      <c r="B331" s="31"/>
      <c r="D331" s="31"/>
      <c r="E331" s="31"/>
    </row>
    <row r="332" spans="2:5" ht="12.75" customHeight="1" x14ac:dyDescent="0.35">
      <c r="B332" s="31"/>
      <c r="D332" s="31"/>
      <c r="E332" s="31"/>
    </row>
    <row r="333" spans="2:5" ht="12.75" customHeight="1" x14ac:dyDescent="0.35">
      <c r="B333" s="31"/>
      <c r="D333" s="31"/>
      <c r="E333" s="31"/>
    </row>
    <row r="334" spans="2:5" ht="12.75" customHeight="1" x14ac:dyDescent="0.35">
      <c r="B334" s="31"/>
      <c r="D334" s="31"/>
      <c r="E334" s="31"/>
    </row>
    <row r="335" spans="2:5" ht="12.75" customHeight="1" x14ac:dyDescent="0.35">
      <c r="B335" s="31"/>
      <c r="D335" s="31"/>
      <c r="E335" s="31"/>
    </row>
    <row r="336" spans="2:5" ht="12.75" customHeight="1" x14ac:dyDescent="0.35">
      <c r="B336" s="31"/>
      <c r="D336" s="31"/>
      <c r="E336" s="31"/>
    </row>
    <row r="337" spans="2:5" ht="12.75" customHeight="1" x14ac:dyDescent="0.35">
      <c r="B337" s="31"/>
      <c r="D337" s="31"/>
      <c r="E337" s="31"/>
    </row>
    <row r="338" spans="2:5" ht="12.75" customHeight="1" x14ac:dyDescent="0.35">
      <c r="B338" s="31"/>
      <c r="D338" s="31"/>
      <c r="E338" s="31"/>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FCE50-CE65-4505-BCE6-801F96E74432}">
  <sheetPr codeName="Sheet18"/>
  <dimension ref="B1:G338"/>
  <sheetViews>
    <sheetView topLeftCell="A97" workbookViewId="0">
      <selection activeCell="J24" sqref="J24"/>
    </sheetView>
  </sheetViews>
  <sheetFormatPr defaultRowHeight="12.75" x14ac:dyDescent="0.35"/>
  <cols>
    <col min="2" max="2" width="43.86328125" bestFit="1" customWidth="1"/>
    <col min="3" max="3" width="12.265625" style="31" customWidth="1"/>
    <col min="4" max="4" width="13.06640625" bestFit="1" customWidth="1"/>
    <col min="5" max="5" width="13.06640625" style="34" bestFit="1" customWidth="1"/>
    <col min="6" max="6" width="13.06640625" style="69" bestFit="1" customWidth="1"/>
  </cols>
  <sheetData>
    <row r="1" spans="2:7" ht="12.75" customHeight="1" x14ac:dyDescent="0.35">
      <c r="B1" s="52"/>
      <c r="C1" s="76"/>
      <c r="D1" s="52"/>
      <c r="E1" s="52"/>
      <c r="F1" s="68"/>
    </row>
    <row r="2" spans="2:7" ht="12.75" customHeight="1" x14ac:dyDescent="0.35">
      <c r="B2" s="52"/>
      <c r="C2" s="76"/>
      <c r="D2" s="52"/>
      <c r="E2" s="52"/>
      <c r="F2" s="68"/>
    </row>
    <row r="3" spans="2:7" ht="12.75" customHeight="1" x14ac:dyDescent="0.35">
      <c r="B3" s="52"/>
      <c r="C3" s="76"/>
      <c r="D3" s="52"/>
      <c r="E3" s="52"/>
      <c r="F3" s="68"/>
    </row>
    <row r="4" spans="2:7" ht="12.75" customHeight="1" x14ac:dyDescent="0.35">
      <c r="B4" s="52"/>
      <c r="C4" s="76"/>
      <c r="D4" s="52"/>
      <c r="E4" s="52"/>
      <c r="F4" s="68"/>
    </row>
    <row r="5" spans="2:7" ht="12.75" customHeight="1" x14ac:dyDescent="0.35">
      <c r="B5" s="52"/>
      <c r="C5" s="76"/>
      <c r="D5" s="52"/>
      <c r="E5" s="52"/>
      <c r="F5" s="68"/>
    </row>
    <row r="6" spans="2:7" ht="38.25" customHeight="1" x14ac:dyDescent="0.35">
      <c r="B6" s="52"/>
      <c r="C6" s="76"/>
      <c r="D6" s="52"/>
      <c r="E6" s="52"/>
      <c r="F6" s="68"/>
    </row>
    <row r="7" spans="2:7" ht="12.75" customHeight="1" x14ac:dyDescent="0.35"/>
    <row r="8" spans="2:7" ht="12.75" customHeight="1" x14ac:dyDescent="0.35">
      <c r="C8" s="77"/>
      <c r="E8" s="34" t="s">
        <v>140</v>
      </c>
      <c r="F8" s="74"/>
    </row>
    <row r="9" spans="2:7" ht="12.75" customHeight="1" x14ac:dyDescent="0.35">
      <c r="B9" s="4"/>
      <c r="C9" s="78"/>
      <c r="D9" s="47">
        <v>43983</v>
      </c>
      <c r="E9" s="46">
        <v>44348</v>
      </c>
      <c r="F9" s="70">
        <v>44713</v>
      </c>
      <c r="G9" s="70" t="s">
        <v>238</v>
      </c>
    </row>
    <row r="10" spans="2:7" ht="12.75" customHeight="1" x14ac:dyDescent="0.35">
      <c r="C10" s="79"/>
      <c r="D10" s="9" t="s">
        <v>223</v>
      </c>
      <c r="E10" s="44" t="s">
        <v>131</v>
      </c>
      <c r="F10" s="9" t="s">
        <v>131</v>
      </c>
      <c r="G10" s="9" t="s">
        <v>131</v>
      </c>
    </row>
    <row r="11" spans="2:7" ht="12.75" customHeight="1" x14ac:dyDescent="0.35">
      <c r="B11" s="3" t="s">
        <v>3</v>
      </c>
    </row>
    <row r="12" spans="2:7" ht="12.75" customHeight="1" x14ac:dyDescent="0.35"/>
    <row r="13" spans="2:7" ht="12.75" customHeight="1" x14ac:dyDescent="0.35">
      <c r="B13" s="3" t="s">
        <v>4</v>
      </c>
    </row>
    <row r="14" spans="2:7" ht="12.75" customHeight="1" x14ac:dyDescent="0.35">
      <c r="B14" s="5" t="s">
        <v>9</v>
      </c>
      <c r="C14" s="81"/>
      <c r="D14" s="101">
        <v>45700</v>
      </c>
      <c r="E14" s="102">
        <v>36700</v>
      </c>
      <c r="F14" s="103">
        <v>36700</v>
      </c>
    </row>
    <row r="15" spans="2:7" ht="12.75" customHeight="1" x14ac:dyDescent="0.35">
      <c r="C15" s="100" t="s">
        <v>224</v>
      </c>
      <c r="D15" s="104">
        <v>33984</v>
      </c>
      <c r="E15" s="105">
        <v>27500</v>
      </c>
      <c r="F15" s="104">
        <v>27500</v>
      </c>
    </row>
    <row r="16" spans="2:7" ht="12.75" customHeight="1" x14ac:dyDescent="0.35">
      <c r="B16" s="3" t="s">
        <v>10</v>
      </c>
      <c r="D16" s="106"/>
      <c r="E16" s="107"/>
      <c r="F16" s="108"/>
    </row>
    <row r="17" spans="2:6" ht="12.75" customHeight="1" x14ac:dyDescent="0.35">
      <c r="D17" s="106"/>
      <c r="E17" s="107"/>
      <c r="F17" s="108"/>
    </row>
    <row r="18" spans="2:6" ht="12.75" customHeight="1" x14ac:dyDescent="0.35">
      <c r="B18" s="3" t="s">
        <v>11</v>
      </c>
      <c r="D18" s="101">
        <v>181992.66750000001</v>
      </c>
      <c r="E18" s="109">
        <v>191092.30087500002</v>
      </c>
      <c r="F18" s="101">
        <v>200646.91591875005</v>
      </c>
    </row>
    <row r="19" spans="2:6" ht="12.75" customHeight="1" x14ac:dyDescent="0.35">
      <c r="C19" s="100" t="s">
        <v>224</v>
      </c>
      <c r="D19" s="105">
        <v>192659</v>
      </c>
      <c r="E19" s="105">
        <v>192109</v>
      </c>
      <c r="F19" s="105">
        <v>201704</v>
      </c>
    </row>
    <row r="20" spans="2:6" ht="12.75" customHeight="1" x14ac:dyDescent="0.35">
      <c r="B20" s="3" t="s">
        <v>19</v>
      </c>
      <c r="C20" s="80"/>
      <c r="D20" s="101"/>
      <c r="E20" s="109"/>
      <c r="F20" s="101"/>
    </row>
    <row r="21" spans="2:6" ht="12.75" customHeight="1" x14ac:dyDescent="0.35">
      <c r="B21" s="5" t="s">
        <v>26</v>
      </c>
      <c r="C21" s="81"/>
      <c r="D21" s="103">
        <v>274023.0999545455</v>
      </c>
      <c r="E21" s="102">
        <v>287724.25495227281</v>
      </c>
      <c r="F21" s="103">
        <v>302110.46769988647</v>
      </c>
    </row>
    <row r="22" spans="2:6" ht="12.75" customHeight="1" x14ac:dyDescent="0.35">
      <c r="C22" s="100" t="s">
        <v>224</v>
      </c>
      <c r="D22" s="104">
        <v>258682</v>
      </c>
      <c r="E22" s="105">
        <v>284170</v>
      </c>
      <c r="F22" s="104">
        <v>298379</v>
      </c>
    </row>
    <row r="23" spans="2:6" ht="12.75" customHeight="1" x14ac:dyDescent="0.35">
      <c r="D23" s="104"/>
      <c r="E23" s="105"/>
      <c r="F23" s="104"/>
    </row>
    <row r="24" spans="2:6" ht="12.75" customHeight="1" thickBot="1" x14ac:dyDescent="0.4">
      <c r="B24" s="6" t="s">
        <v>27</v>
      </c>
      <c r="C24" s="82"/>
      <c r="D24" s="110">
        <f>D21+D18</f>
        <v>456015.76745454548</v>
      </c>
      <c r="E24" s="110">
        <f t="shared" ref="E24:F25" si="0">E21+E18</f>
        <v>478816.55582727282</v>
      </c>
      <c r="F24" s="110">
        <f t="shared" si="0"/>
        <v>502757.38361863652</v>
      </c>
    </row>
    <row r="25" spans="2:6" ht="12.75" customHeight="1" thickTop="1" x14ac:dyDescent="0.35">
      <c r="C25" s="100" t="s">
        <v>224</v>
      </c>
      <c r="D25" s="105">
        <f>D22+D19</f>
        <v>451341</v>
      </c>
      <c r="E25" s="105">
        <f t="shared" si="0"/>
        <v>476279</v>
      </c>
      <c r="F25" s="105">
        <f t="shared" si="0"/>
        <v>500083</v>
      </c>
    </row>
    <row r="26" spans="2:6" ht="12.75" customHeight="1" x14ac:dyDescent="0.35">
      <c r="B26" s="3" t="s">
        <v>28</v>
      </c>
      <c r="D26" s="106"/>
      <c r="E26" s="107"/>
      <c r="F26" s="108"/>
    </row>
    <row r="27" spans="2:6" ht="12.75" hidden="1" customHeight="1" x14ac:dyDescent="0.35">
      <c r="B27" s="1" t="s">
        <v>34</v>
      </c>
      <c r="C27" s="80"/>
      <c r="D27" s="101"/>
      <c r="E27" s="109"/>
      <c r="F27" s="101"/>
    </row>
    <row r="28" spans="2:6" ht="12.75" customHeight="1" x14ac:dyDescent="0.35">
      <c r="B28" s="5" t="s">
        <v>35</v>
      </c>
      <c r="C28" s="83"/>
      <c r="D28" s="111">
        <v>105480</v>
      </c>
      <c r="E28" s="112">
        <v>110754</v>
      </c>
      <c r="F28" s="111">
        <v>110754</v>
      </c>
    </row>
    <row r="29" spans="2:6" ht="12.75" customHeight="1" x14ac:dyDescent="0.35">
      <c r="C29" s="100" t="s">
        <v>224</v>
      </c>
      <c r="D29" s="105">
        <v>112410</v>
      </c>
      <c r="E29" s="105">
        <v>114568</v>
      </c>
      <c r="F29" s="105">
        <v>120296</v>
      </c>
    </row>
    <row r="30" spans="2:6" ht="12.75" customHeight="1" thickBot="1" x14ac:dyDescent="0.4">
      <c r="B30" s="6" t="s">
        <v>36</v>
      </c>
      <c r="C30" s="85"/>
      <c r="D30" s="110">
        <f>D28+D24</f>
        <v>561495.76745454548</v>
      </c>
      <c r="E30" s="110">
        <f t="shared" ref="E30:F31" si="1">E28+E24</f>
        <v>589570.55582727282</v>
      </c>
      <c r="F30" s="110">
        <f t="shared" si="1"/>
        <v>613511.38361863652</v>
      </c>
    </row>
    <row r="31" spans="2:6" ht="12.75" customHeight="1" thickTop="1" x14ac:dyDescent="0.35">
      <c r="C31" s="100" t="s">
        <v>224</v>
      </c>
      <c r="D31" s="105">
        <f>D29+D25</f>
        <v>563751</v>
      </c>
      <c r="E31" s="105">
        <f t="shared" si="1"/>
        <v>590847</v>
      </c>
      <c r="F31" s="105">
        <f t="shared" si="1"/>
        <v>620379</v>
      </c>
    </row>
    <row r="32" spans="2:6" ht="12.75" customHeight="1" x14ac:dyDescent="0.35">
      <c r="B32" s="3" t="s">
        <v>37</v>
      </c>
      <c r="D32" s="106"/>
      <c r="E32" s="107"/>
      <c r="F32" s="108"/>
    </row>
    <row r="33" spans="2:6" ht="12.75" customHeight="1" x14ac:dyDescent="0.35">
      <c r="B33" s="1" t="s">
        <v>38</v>
      </c>
      <c r="C33" s="80"/>
      <c r="D33" s="101">
        <v>6300</v>
      </c>
      <c r="E33" s="109">
        <v>7000</v>
      </c>
      <c r="F33" s="101">
        <v>7500</v>
      </c>
    </row>
    <row r="34" spans="2:6" ht="12.75" customHeight="1" x14ac:dyDescent="0.35">
      <c r="B34" s="5" t="s">
        <v>41</v>
      </c>
      <c r="C34" s="83"/>
      <c r="D34" s="111">
        <v>6300</v>
      </c>
      <c r="E34" s="112">
        <v>7000</v>
      </c>
      <c r="F34" s="111">
        <v>7500</v>
      </c>
    </row>
    <row r="35" spans="2:6" ht="12.75" customHeight="1" x14ac:dyDescent="0.35">
      <c r="C35" s="100" t="s">
        <v>224</v>
      </c>
      <c r="D35" s="105">
        <v>10856</v>
      </c>
      <c r="E35" s="105">
        <v>7000</v>
      </c>
      <c r="F35" s="105">
        <v>7500</v>
      </c>
    </row>
    <row r="36" spans="2:6" ht="12.75" customHeight="1" x14ac:dyDescent="0.35">
      <c r="B36" s="3" t="s">
        <v>42</v>
      </c>
      <c r="C36" s="84"/>
      <c r="D36" s="106"/>
      <c r="E36" s="107"/>
      <c r="F36" s="108"/>
    </row>
    <row r="37" spans="2:6" ht="12.75" customHeight="1" x14ac:dyDescent="0.35">
      <c r="B37" s="3" t="s">
        <v>44</v>
      </c>
      <c r="C37" s="84"/>
      <c r="D37" s="106"/>
      <c r="E37" s="107"/>
      <c r="F37" s="108"/>
    </row>
    <row r="38" spans="2:6" ht="12.75" customHeight="1" x14ac:dyDescent="0.35">
      <c r="B38" s="5" t="s">
        <v>46</v>
      </c>
      <c r="C38" s="83"/>
      <c r="D38" s="111">
        <v>34000</v>
      </c>
      <c r="E38" s="112">
        <v>35000</v>
      </c>
      <c r="F38" s="111">
        <v>36000</v>
      </c>
    </row>
    <row r="39" spans="2:6" ht="12.75" customHeight="1" x14ac:dyDescent="0.35">
      <c r="B39" s="98"/>
      <c r="C39" s="100" t="s">
        <v>224</v>
      </c>
      <c r="D39" s="113">
        <v>0</v>
      </c>
      <c r="E39" s="113">
        <v>35000</v>
      </c>
      <c r="F39" s="113">
        <v>36000</v>
      </c>
    </row>
    <row r="40" spans="2:6" ht="12.75" customHeight="1" x14ac:dyDescent="0.35">
      <c r="C40" s="84"/>
      <c r="D40" s="106"/>
      <c r="E40" s="107"/>
      <c r="F40" s="108"/>
    </row>
    <row r="41" spans="2:6" ht="12.75" customHeight="1" x14ac:dyDescent="0.35">
      <c r="B41" s="3" t="s">
        <v>47</v>
      </c>
      <c r="C41" s="84"/>
      <c r="D41" s="106"/>
      <c r="E41" s="107"/>
      <c r="F41" s="108"/>
    </row>
    <row r="42" spans="2:6" ht="12.75" customHeight="1" x14ac:dyDescent="0.35">
      <c r="B42" s="5" t="s">
        <v>50</v>
      </c>
      <c r="C42" s="83"/>
      <c r="D42" s="111">
        <v>97416.709999999992</v>
      </c>
      <c r="E42" s="112">
        <v>0</v>
      </c>
      <c r="F42" s="111">
        <v>103000</v>
      </c>
    </row>
    <row r="43" spans="2:6" ht="12.75" customHeight="1" x14ac:dyDescent="0.35">
      <c r="B43" s="98"/>
      <c r="C43" s="100" t="s">
        <v>224</v>
      </c>
      <c r="D43" s="113">
        <v>68880</v>
      </c>
      <c r="E43" s="113"/>
      <c r="F43" s="113">
        <v>103000</v>
      </c>
    </row>
    <row r="44" spans="2:6" ht="12.75" customHeight="1" x14ac:dyDescent="0.35">
      <c r="C44" s="84"/>
      <c r="D44" s="106"/>
      <c r="E44" s="107"/>
      <c r="F44" s="108"/>
    </row>
    <row r="45" spans="2:6" ht="12.75" customHeight="1" x14ac:dyDescent="0.35">
      <c r="B45" s="3" t="s">
        <v>51</v>
      </c>
      <c r="C45" s="84"/>
      <c r="D45" s="106"/>
      <c r="E45" s="107"/>
      <c r="F45" s="108"/>
    </row>
    <row r="46" spans="2:6" ht="12.75" customHeight="1" x14ac:dyDescent="0.35">
      <c r="B46" s="5" t="s">
        <v>54</v>
      </c>
      <c r="C46" s="83"/>
      <c r="D46" s="111">
        <v>0</v>
      </c>
      <c r="E46" s="112"/>
      <c r="F46" s="112">
        <v>127810.85</v>
      </c>
    </row>
    <row r="47" spans="2:6" ht="12.75" customHeight="1" x14ac:dyDescent="0.35">
      <c r="B47" s="98"/>
      <c r="C47" s="100" t="s">
        <v>224</v>
      </c>
      <c r="D47" s="113">
        <v>0</v>
      </c>
      <c r="E47" s="113"/>
      <c r="F47" s="113">
        <v>127811</v>
      </c>
    </row>
    <row r="48" spans="2:6" ht="12.75" customHeight="1" x14ac:dyDescent="0.35">
      <c r="C48" s="84"/>
      <c r="D48" s="106"/>
      <c r="E48" s="107"/>
      <c r="F48" s="108"/>
    </row>
    <row r="49" spans="2:6" ht="12.75" customHeight="1" x14ac:dyDescent="0.35">
      <c r="B49" s="3" t="s">
        <v>55</v>
      </c>
      <c r="C49" s="84"/>
      <c r="D49" s="106"/>
      <c r="E49" s="107"/>
      <c r="F49" s="108"/>
    </row>
    <row r="50" spans="2:6" ht="12.75" customHeight="1" x14ac:dyDescent="0.35">
      <c r="B50" s="5" t="s">
        <v>58</v>
      </c>
      <c r="C50" s="83"/>
      <c r="D50" s="111">
        <v>0</v>
      </c>
      <c r="E50" s="112"/>
      <c r="F50" s="111">
        <v>0</v>
      </c>
    </row>
    <row r="51" spans="2:6" ht="12.75" customHeight="1" x14ac:dyDescent="0.35">
      <c r="B51" s="98"/>
      <c r="C51" s="100" t="s">
        <v>224</v>
      </c>
      <c r="D51" s="113"/>
      <c r="E51" s="113"/>
      <c r="F51" s="113"/>
    </row>
    <row r="52" spans="2:6" ht="12.75" customHeight="1" x14ac:dyDescent="0.35">
      <c r="C52" s="84"/>
      <c r="D52" s="106"/>
      <c r="E52" s="107"/>
      <c r="F52" s="108"/>
    </row>
    <row r="53" spans="2:6" ht="12.75" customHeight="1" x14ac:dyDescent="0.35">
      <c r="B53" s="3" t="s">
        <v>59</v>
      </c>
      <c r="C53" s="80"/>
      <c r="D53" s="101"/>
      <c r="E53" s="109"/>
      <c r="F53" s="101"/>
    </row>
    <row r="54" spans="2:6" ht="12.75" customHeight="1" x14ac:dyDescent="0.35">
      <c r="B54" s="5" t="s">
        <v>61</v>
      </c>
      <c r="C54" s="83"/>
      <c r="D54" s="111">
        <v>135000</v>
      </c>
      <c r="E54" s="112">
        <v>0</v>
      </c>
      <c r="F54" s="111">
        <v>5000</v>
      </c>
    </row>
    <row r="55" spans="2:6" ht="12.75" customHeight="1" x14ac:dyDescent="0.35">
      <c r="B55" s="98"/>
      <c r="C55" s="100" t="s">
        <v>224</v>
      </c>
      <c r="D55" s="113">
        <v>114827</v>
      </c>
      <c r="E55" s="113"/>
      <c r="F55" s="113">
        <v>5000</v>
      </c>
    </row>
    <row r="56" spans="2:6" ht="12.75" customHeight="1" x14ac:dyDescent="0.35">
      <c r="C56" s="84"/>
      <c r="D56" s="106"/>
      <c r="E56" s="107"/>
      <c r="F56" s="108"/>
    </row>
    <row r="57" spans="2:6" ht="12.75" customHeight="1" thickBot="1" x14ac:dyDescent="0.4">
      <c r="B57" s="6" t="s">
        <v>62</v>
      </c>
      <c r="C57" s="85"/>
      <c r="D57" s="110">
        <v>266416.70999999996</v>
      </c>
      <c r="E57" s="114">
        <v>364770.85</v>
      </c>
      <c r="F57" s="110">
        <v>144000</v>
      </c>
    </row>
    <row r="58" spans="2:6" ht="12.75" customHeight="1" thickTop="1" x14ac:dyDescent="0.35">
      <c r="B58" s="98"/>
      <c r="C58" s="100" t="s">
        <v>224</v>
      </c>
      <c r="D58" s="113">
        <f>D55+D51+D47+D43+D39</f>
        <v>183707</v>
      </c>
      <c r="E58" s="113">
        <f t="shared" ref="E58:F58" si="2">E55+E51+E47+E43+E39</f>
        <v>35000</v>
      </c>
      <c r="F58" s="113">
        <f t="shared" si="2"/>
        <v>271811</v>
      </c>
    </row>
    <row r="59" spans="2:6" ht="12.75" customHeight="1" x14ac:dyDescent="0.35">
      <c r="C59" s="84"/>
      <c r="D59" s="106"/>
      <c r="E59" s="107"/>
      <c r="F59" s="108"/>
    </row>
    <row r="60" spans="2:6" ht="12.75" customHeight="1" thickBot="1" x14ac:dyDescent="0.4">
      <c r="B60" s="6" t="s">
        <v>63</v>
      </c>
      <c r="C60" s="85"/>
      <c r="D60" s="110">
        <v>879912.47745454544</v>
      </c>
      <c r="E60" s="114">
        <v>998041.4058272728</v>
      </c>
      <c r="F60" s="110">
        <v>801711.38361863652</v>
      </c>
    </row>
    <row r="61" spans="2:6" ht="12.75" customHeight="1" thickTop="1" x14ac:dyDescent="0.35">
      <c r="B61" s="98"/>
      <c r="C61" s="100" t="s">
        <v>224</v>
      </c>
      <c r="D61" s="113">
        <f>D58+D35+D31+D15</f>
        <v>792298</v>
      </c>
      <c r="E61" s="113">
        <f t="shared" ref="E61:F61" si="3">E58+E35+E31+E15</f>
        <v>660347</v>
      </c>
      <c r="F61" s="113">
        <f t="shared" si="3"/>
        <v>927190</v>
      </c>
    </row>
    <row r="62" spans="2:6" ht="15" customHeight="1" x14ac:dyDescent="0.35">
      <c r="C62" s="84"/>
      <c r="D62" s="106"/>
      <c r="E62" s="107"/>
      <c r="F62" s="108"/>
    </row>
    <row r="63" spans="2:6" ht="12.75" customHeight="1" x14ac:dyDescent="0.35">
      <c r="B63" s="98"/>
      <c r="C63" s="99"/>
      <c r="D63" s="115"/>
      <c r="E63" s="115"/>
      <c r="F63" s="116"/>
    </row>
    <row r="64" spans="2:6" ht="12.75" customHeight="1" x14ac:dyDescent="0.35">
      <c r="D64" s="106"/>
      <c r="E64" s="107"/>
      <c r="F64" s="108"/>
    </row>
    <row r="65" spans="2:6" ht="12.75" customHeight="1" x14ac:dyDescent="0.35">
      <c r="B65" s="3" t="s">
        <v>65</v>
      </c>
      <c r="D65" s="106"/>
      <c r="E65" s="107"/>
      <c r="F65" s="108"/>
    </row>
    <row r="66" spans="2:6" ht="12.75" customHeight="1" x14ac:dyDescent="0.35">
      <c r="B66" s="3"/>
      <c r="D66" s="106"/>
      <c r="E66" s="107"/>
      <c r="F66" s="108"/>
    </row>
    <row r="67" spans="2:6" ht="12.75" customHeight="1" x14ac:dyDescent="0.35">
      <c r="B67" t="s">
        <v>226</v>
      </c>
      <c r="D67" s="105">
        <v>97066</v>
      </c>
      <c r="E67" s="107"/>
      <c r="F67" s="108"/>
    </row>
    <row r="68" spans="2:6" ht="12.75" customHeight="1" x14ac:dyDescent="0.35">
      <c r="B68" s="3" t="s">
        <v>225</v>
      </c>
      <c r="D68" s="106">
        <v>56700</v>
      </c>
      <c r="E68" s="106">
        <v>57834</v>
      </c>
      <c r="F68" s="106">
        <v>58990.68</v>
      </c>
    </row>
    <row r="69" spans="2:6" ht="12.75" customHeight="1" x14ac:dyDescent="0.35">
      <c r="B69" s="3"/>
      <c r="C69" s="100" t="s">
        <v>224</v>
      </c>
      <c r="D69" s="105">
        <v>54993</v>
      </c>
      <c r="E69" s="105">
        <v>65834</v>
      </c>
      <c r="F69" s="105">
        <v>68990</v>
      </c>
    </row>
    <row r="70" spans="2:6" ht="12.75" customHeight="1" x14ac:dyDescent="0.35">
      <c r="D70" s="106"/>
      <c r="E70" s="107"/>
      <c r="F70" s="108"/>
    </row>
    <row r="71" spans="2:6" ht="12.75" customHeight="1" x14ac:dyDescent="0.35">
      <c r="B71" s="3" t="s">
        <v>73</v>
      </c>
      <c r="D71" s="106"/>
      <c r="E71" s="107"/>
      <c r="F71" s="108"/>
    </row>
    <row r="72" spans="2:6" ht="12.75" customHeight="1" x14ac:dyDescent="0.35">
      <c r="B72" s="5" t="s">
        <v>84</v>
      </c>
      <c r="C72" s="33"/>
      <c r="D72" s="111">
        <v>35391.565799999997</v>
      </c>
      <c r="E72" s="112">
        <v>36821.734484000001</v>
      </c>
      <c r="F72" s="111">
        <v>38329.059794319997</v>
      </c>
    </row>
    <row r="73" spans="2:6" ht="12.75" customHeight="1" x14ac:dyDescent="0.35">
      <c r="B73" s="98"/>
      <c r="C73" s="100" t="s">
        <v>224</v>
      </c>
      <c r="D73" s="113">
        <v>34069</v>
      </c>
      <c r="E73" s="113">
        <v>40797</v>
      </c>
      <c r="F73" s="113">
        <v>38330</v>
      </c>
    </row>
    <row r="74" spans="2:6" ht="12.75" customHeight="1" x14ac:dyDescent="0.35">
      <c r="D74" s="106"/>
      <c r="E74" s="107"/>
      <c r="F74" s="108"/>
    </row>
    <row r="75" spans="2:6" ht="12.75" customHeight="1" x14ac:dyDescent="0.35">
      <c r="B75" s="3" t="s">
        <v>85</v>
      </c>
      <c r="D75" s="106"/>
      <c r="E75" s="107"/>
      <c r="F75" s="108"/>
    </row>
    <row r="76" spans="2:6" ht="12.75" customHeight="1" x14ac:dyDescent="0.35">
      <c r="B76" s="5" t="s">
        <v>97</v>
      </c>
      <c r="C76" s="33"/>
      <c r="D76" s="117">
        <v>293552</v>
      </c>
      <c r="E76" s="112">
        <v>302669.54000000004</v>
      </c>
      <c r="F76" s="111">
        <v>311786.00579999998</v>
      </c>
    </row>
    <row r="77" spans="2:6" ht="12.75" customHeight="1" x14ac:dyDescent="0.35">
      <c r="B77" s="98"/>
      <c r="C77" s="100" t="s">
        <v>224</v>
      </c>
      <c r="D77" s="113">
        <v>257938</v>
      </c>
      <c r="E77" s="113">
        <v>302670</v>
      </c>
      <c r="F77" s="113">
        <v>311786</v>
      </c>
    </row>
    <row r="78" spans="2:6" ht="12.75" customHeight="1" x14ac:dyDescent="0.35">
      <c r="D78" s="106"/>
      <c r="E78" s="107"/>
      <c r="F78" s="108"/>
    </row>
    <row r="79" spans="2:6" ht="12.75" customHeight="1" x14ac:dyDescent="0.35">
      <c r="B79" s="3" t="s">
        <v>98</v>
      </c>
      <c r="D79" s="106"/>
      <c r="E79" s="107"/>
      <c r="F79" s="108"/>
    </row>
    <row r="80" spans="2:6" ht="12.75" customHeight="1" x14ac:dyDescent="0.35">
      <c r="B80" s="5" t="s">
        <v>101</v>
      </c>
      <c r="C80" s="33"/>
      <c r="D80" s="117">
        <v>94932</v>
      </c>
      <c r="E80" s="112">
        <v>99678.6</v>
      </c>
      <c r="F80" s="111">
        <v>99678.6</v>
      </c>
    </row>
    <row r="81" spans="2:7" ht="12.75" customHeight="1" x14ac:dyDescent="0.35">
      <c r="C81" s="100" t="s">
        <v>224</v>
      </c>
      <c r="D81" s="118">
        <v>100854</v>
      </c>
      <c r="E81" s="118">
        <v>99678</v>
      </c>
      <c r="F81" s="118">
        <v>99678</v>
      </c>
    </row>
    <row r="82" spans="2:7" ht="12.75" customHeight="1" x14ac:dyDescent="0.35">
      <c r="B82" s="3" t="s">
        <v>102</v>
      </c>
      <c r="D82" s="106"/>
      <c r="E82" s="107"/>
      <c r="F82" s="108"/>
    </row>
    <row r="83" spans="2:7" ht="12.75" customHeight="1" x14ac:dyDescent="0.35">
      <c r="B83" s="5" t="s">
        <v>109</v>
      </c>
      <c r="C83" s="83"/>
      <c r="D83" s="117">
        <v>154690</v>
      </c>
      <c r="E83" s="111">
        <v>161081.476</v>
      </c>
      <c r="F83" s="112">
        <v>223723.99</v>
      </c>
      <c r="G83" s="112"/>
    </row>
    <row r="84" spans="2:7" ht="12.75" customHeight="1" x14ac:dyDescent="0.35">
      <c r="B84" s="98"/>
      <c r="C84" s="100" t="s">
        <v>224</v>
      </c>
      <c r="D84" s="113">
        <v>97645</v>
      </c>
      <c r="E84" s="113">
        <v>161081</v>
      </c>
      <c r="F84" s="113">
        <v>223723</v>
      </c>
      <c r="G84" s="113"/>
    </row>
    <row r="85" spans="2:7" ht="12.75" customHeight="1" x14ac:dyDescent="0.35">
      <c r="C85" s="84"/>
      <c r="D85" s="106"/>
      <c r="E85" s="107"/>
      <c r="F85" s="108"/>
    </row>
    <row r="86" spans="2:7" ht="12.75" customHeight="1" x14ac:dyDescent="0.35">
      <c r="B86" s="3" t="s">
        <v>110</v>
      </c>
      <c r="C86" s="84"/>
      <c r="D86" s="106"/>
      <c r="E86" s="107"/>
      <c r="F86" s="108"/>
    </row>
    <row r="87" spans="2:7" ht="12.75" customHeight="1" x14ac:dyDescent="0.35">
      <c r="C87" s="84"/>
      <c r="D87" s="106"/>
      <c r="E87" s="107"/>
      <c r="F87" s="108"/>
    </row>
    <row r="88" spans="2:7" ht="12.75" customHeight="1" x14ac:dyDescent="0.35">
      <c r="B88" s="3" t="s">
        <v>113</v>
      </c>
      <c r="C88" s="84"/>
      <c r="D88" s="106"/>
      <c r="E88" s="107"/>
      <c r="F88" s="108"/>
    </row>
    <row r="89" spans="2:7" ht="12.75" customHeight="1" x14ac:dyDescent="0.35">
      <c r="B89" s="5" t="s">
        <v>114</v>
      </c>
      <c r="C89" s="83"/>
      <c r="D89" s="111">
        <v>83000</v>
      </c>
      <c r="E89" s="112">
        <v>0</v>
      </c>
      <c r="F89" s="111">
        <v>87150</v>
      </c>
    </row>
    <row r="90" spans="2:7" ht="12.75" customHeight="1" x14ac:dyDescent="0.35">
      <c r="C90" s="100" t="s">
        <v>224</v>
      </c>
      <c r="D90" s="105">
        <v>80453</v>
      </c>
      <c r="E90" s="105"/>
      <c r="F90" s="105">
        <v>87150</v>
      </c>
    </row>
    <row r="91" spans="2:7" ht="12.75" customHeight="1" x14ac:dyDescent="0.35">
      <c r="B91" s="3" t="s">
        <v>115</v>
      </c>
      <c r="C91" s="84"/>
      <c r="D91" s="106"/>
      <c r="E91" s="107"/>
      <c r="F91" s="108"/>
    </row>
    <row r="92" spans="2:7" ht="12.75" customHeight="1" x14ac:dyDescent="0.35">
      <c r="B92" s="5" t="s">
        <v>119</v>
      </c>
      <c r="C92" s="83"/>
      <c r="D92" s="111">
        <v>0</v>
      </c>
      <c r="E92" s="112"/>
      <c r="F92" s="112">
        <v>86111.3</v>
      </c>
    </row>
    <row r="93" spans="2:7" ht="12.75" customHeight="1" x14ac:dyDescent="0.35">
      <c r="C93" s="100" t="s">
        <v>224</v>
      </c>
      <c r="D93" s="105"/>
      <c r="E93" s="105"/>
      <c r="F93" s="105">
        <v>86111</v>
      </c>
    </row>
    <row r="94" spans="2:7" ht="12.75" customHeight="1" x14ac:dyDescent="0.35">
      <c r="B94" s="3" t="s">
        <v>120</v>
      </c>
      <c r="C94" s="84"/>
      <c r="D94" s="106"/>
      <c r="E94" s="107"/>
      <c r="F94" s="108"/>
    </row>
    <row r="95" spans="2:7" ht="12.75" customHeight="1" x14ac:dyDescent="0.35">
      <c r="B95" s="5" t="s">
        <v>121</v>
      </c>
      <c r="C95" s="83"/>
      <c r="D95" s="111">
        <v>0</v>
      </c>
      <c r="E95" s="112"/>
      <c r="F95" s="111">
        <v>0</v>
      </c>
    </row>
    <row r="96" spans="2:7" ht="12.75" customHeight="1" x14ac:dyDescent="0.35">
      <c r="C96" s="100" t="s">
        <v>224</v>
      </c>
      <c r="D96" s="105"/>
      <c r="E96" s="105"/>
      <c r="F96" s="105"/>
    </row>
    <row r="97" spans="2:6" ht="12.75" customHeight="1" x14ac:dyDescent="0.35">
      <c r="B97" s="3" t="s">
        <v>122</v>
      </c>
      <c r="C97" s="84"/>
      <c r="D97" s="106"/>
      <c r="E97" s="107"/>
      <c r="F97" s="108"/>
    </row>
    <row r="98" spans="2:6" ht="12.75" customHeight="1" x14ac:dyDescent="0.35">
      <c r="B98" s="5" t="s">
        <v>124</v>
      </c>
      <c r="C98" s="83"/>
      <c r="D98" s="111">
        <v>10000</v>
      </c>
      <c r="E98" s="112">
        <v>10000</v>
      </c>
      <c r="F98" s="111">
        <v>10000</v>
      </c>
    </row>
    <row r="99" spans="2:6" ht="12.75" customHeight="1" x14ac:dyDescent="0.35">
      <c r="B99" s="98"/>
      <c r="C99" s="100" t="s">
        <v>224</v>
      </c>
      <c r="D99" s="113">
        <v>769</v>
      </c>
      <c r="E99" s="113">
        <v>10000</v>
      </c>
      <c r="F99" s="113">
        <v>10000</v>
      </c>
    </row>
    <row r="100" spans="2:6" ht="12.75" customHeight="1" x14ac:dyDescent="0.35">
      <c r="C100" s="84"/>
      <c r="D100" s="106"/>
      <c r="E100" s="107"/>
      <c r="F100" s="108"/>
    </row>
    <row r="101" spans="2:6" ht="12.75" customHeight="1" thickBot="1" x14ac:dyDescent="0.4">
      <c r="B101" s="6" t="s">
        <v>125</v>
      </c>
      <c r="C101" s="85"/>
      <c r="D101" s="110">
        <v>214500</v>
      </c>
      <c r="E101" s="114">
        <v>241311.3</v>
      </c>
      <c r="F101" s="110">
        <v>97150</v>
      </c>
    </row>
    <row r="102" spans="2:6" ht="12.75" customHeight="1" thickTop="1" x14ac:dyDescent="0.35">
      <c r="B102" s="98"/>
      <c r="C102" s="100" t="s">
        <v>224</v>
      </c>
      <c r="D102" s="105">
        <f>D99+D96+D93+D90+56.22</f>
        <v>81278.22</v>
      </c>
      <c r="E102" s="105">
        <f>E99+E96+E93+E90+4500</f>
        <v>14500</v>
      </c>
      <c r="F102" s="105">
        <f t="shared" ref="F102" si="4">F99+F96+F93+F90</f>
        <v>183261</v>
      </c>
    </row>
    <row r="103" spans="2:6" ht="12.75" customHeight="1" x14ac:dyDescent="0.35">
      <c r="C103" s="84"/>
      <c r="D103" s="106"/>
      <c r="E103" s="107"/>
      <c r="F103" s="108"/>
    </row>
    <row r="104" spans="2:6" ht="12.75" customHeight="1" thickBot="1" x14ac:dyDescent="0.4">
      <c r="B104" s="6" t="s">
        <v>126</v>
      </c>
      <c r="C104" s="85"/>
      <c r="D104" s="110">
        <v>859765.56579999998</v>
      </c>
      <c r="E104" s="114">
        <v>970039.16448400007</v>
      </c>
      <c r="F104" s="110">
        <v>777015.82159432</v>
      </c>
    </row>
    <row r="105" spans="2:6" ht="12.75" customHeight="1" thickTop="1" x14ac:dyDescent="0.35">
      <c r="B105" s="98"/>
      <c r="C105" s="100" t="s">
        <v>224</v>
      </c>
      <c r="D105" s="113">
        <f>D102+D84+D77+D73+D69+D67+D81</f>
        <v>723843.22</v>
      </c>
      <c r="E105" s="113">
        <f t="shared" ref="E105:F105" si="5">E102+E84+E77+E73+E69+E67+E81</f>
        <v>684560</v>
      </c>
      <c r="F105" s="113">
        <f t="shared" si="5"/>
        <v>925768</v>
      </c>
    </row>
    <row r="106" spans="2:6" ht="12.75" customHeight="1" x14ac:dyDescent="0.35">
      <c r="C106" s="84"/>
      <c r="D106" s="106"/>
      <c r="E106" s="107"/>
      <c r="F106" s="108"/>
    </row>
    <row r="107" spans="2:6" ht="12.75" customHeight="1" thickBot="1" x14ac:dyDescent="0.4">
      <c r="B107" s="6" t="s">
        <v>168</v>
      </c>
      <c r="C107" s="85" t="s">
        <v>227</v>
      </c>
      <c r="D107" s="110">
        <v>20146.91165454546</v>
      </c>
      <c r="E107" s="114">
        <v>28002.241343272734</v>
      </c>
      <c r="F107" s="110">
        <v>24695.562024316518</v>
      </c>
    </row>
    <row r="108" spans="2:6" ht="12.75" customHeight="1" thickTop="1" x14ac:dyDescent="0.35">
      <c r="B108" s="98"/>
      <c r="C108" s="100" t="s">
        <v>224</v>
      </c>
      <c r="D108" s="113">
        <f>D61-D105</f>
        <v>68454.780000000028</v>
      </c>
      <c r="E108" s="113">
        <f t="shared" ref="E108:F108" si="6">E61-E105</f>
        <v>-24213</v>
      </c>
      <c r="F108" s="119">
        <f t="shared" si="6"/>
        <v>1422</v>
      </c>
    </row>
    <row r="109" spans="2:6" ht="12.75" customHeight="1" x14ac:dyDescent="0.35"/>
    <row r="110" spans="2:6" ht="12.75" customHeight="1" x14ac:dyDescent="0.35">
      <c r="B110" s="3" t="s">
        <v>127</v>
      </c>
    </row>
    <row r="111" spans="2:6" ht="12.75" customHeight="1" x14ac:dyDescent="0.35">
      <c r="B111" s="1" t="s">
        <v>128</v>
      </c>
    </row>
    <row r="112" spans="2:6" ht="12.75" customHeight="1" x14ac:dyDescent="0.35">
      <c r="B112" s="5" t="s">
        <v>129</v>
      </c>
    </row>
    <row r="113" spans="2:6" ht="16.5" customHeight="1" x14ac:dyDescent="0.35"/>
    <row r="114" spans="2:6" ht="12.75" customHeight="1" x14ac:dyDescent="0.35">
      <c r="C114" s="78"/>
      <c r="D114" s="47">
        <v>43983</v>
      </c>
      <c r="E114" s="46">
        <v>44348</v>
      </c>
      <c r="F114" s="46">
        <v>44713</v>
      </c>
    </row>
    <row r="115" spans="2:6" ht="12.75" customHeight="1" x14ac:dyDescent="0.35">
      <c r="B115" s="31"/>
      <c r="C115" s="79"/>
      <c r="D115" s="9" t="s">
        <v>132</v>
      </c>
      <c r="E115" s="44" t="s">
        <v>132</v>
      </c>
      <c r="F115" s="9" t="s">
        <v>132</v>
      </c>
    </row>
    <row r="116" spans="2:6" ht="12.75" customHeight="1" x14ac:dyDescent="0.35">
      <c r="B116" s="31"/>
      <c r="D116" s="31"/>
      <c r="E116" s="31"/>
    </row>
    <row r="117" spans="2:6" ht="12.75" customHeight="1" x14ac:dyDescent="0.35">
      <c r="B117" s="31"/>
      <c r="D117" s="31"/>
      <c r="E117" s="31"/>
    </row>
    <row r="118" spans="2:6" ht="12.75" customHeight="1" x14ac:dyDescent="0.35">
      <c r="B118" s="26"/>
      <c r="D118" s="31"/>
      <c r="E118" s="31"/>
    </row>
    <row r="119" spans="2:6" ht="27.75" customHeight="1" x14ac:dyDescent="0.35">
      <c r="B119" s="26"/>
      <c r="D119" s="31"/>
      <c r="E119" s="31"/>
    </row>
    <row r="120" spans="2:6" ht="12.75" customHeight="1" x14ac:dyDescent="0.35">
      <c r="B120" s="54"/>
      <c r="D120" s="31"/>
      <c r="E120" s="31"/>
    </row>
    <row r="121" spans="2:6" ht="12.75" customHeight="1" x14ac:dyDescent="0.35">
      <c r="B121" s="54"/>
      <c r="D121" s="31"/>
      <c r="E121" s="31"/>
    </row>
    <row r="122" spans="2:6" ht="12.75" customHeight="1" x14ac:dyDescent="0.35">
      <c r="B122" s="55"/>
      <c r="D122" s="31"/>
      <c r="E122" s="31"/>
    </row>
    <row r="123" spans="2:6" ht="12.75" customHeight="1" x14ac:dyDescent="0.35">
      <c r="B123" s="54"/>
      <c r="D123" s="31"/>
      <c r="E123" s="31"/>
    </row>
    <row r="124" spans="2:6" ht="12.75" customHeight="1" x14ac:dyDescent="0.35">
      <c r="B124" s="54"/>
      <c r="D124" s="31"/>
      <c r="E124" s="31"/>
    </row>
    <row r="125" spans="2:6" ht="12.75" customHeight="1" x14ac:dyDescent="0.35">
      <c r="B125" s="55"/>
      <c r="D125" s="31"/>
      <c r="E125" s="31"/>
    </row>
    <row r="126" spans="2:6" ht="12.75" customHeight="1" x14ac:dyDescent="0.35">
      <c r="B126" s="55"/>
      <c r="D126" s="31"/>
      <c r="E126" s="31"/>
    </row>
    <row r="127" spans="2:6" ht="12.75" customHeight="1" x14ac:dyDescent="0.35">
      <c r="B127" s="54"/>
      <c r="D127" s="31"/>
      <c r="E127" s="31"/>
    </row>
    <row r="128" spans="2:6" ht="12.75" customHeight="1" x14ac:dyDescent="0.35">
      <c r="B128" s="54"/>
      <c r="D128" s="31"/>
      <c r="E128" s="31"/>
    </row>
    <row r="129" spans="2:5" ht="12.75" customHeight="1" x14ac:dyDescent="0.35">
      <c r="B129" s="54"/>
      <c r="D129" s="31"/>
      <c r="E129" s="31"/>
    </row>
    <row r="130" spans="2:5" ht="12.75" customHeight="1" x14ac:dyDescent="0.35">
      <c r="B130" s="54"/>
      <c r="D130" s="31"/>
      <c r="E130" s="31"/>
    </row>
    <row r="131" spans="2:5" ht="12.75" customHeight="1" x14ac:dyDescent="0.35">
      <c r="B131" s="54"/>
      <c r="D131" s="31"/>
      <c r="E131" s="31"/>
    </row>
    <row r="132" spans="2:5" ht="12.75" customHeight="1" x14ac:dyDescent="0.35">
      <c r="B132" s="54"/>
      <c r="D132" s="31"/>
      <c r="E132" s="31"/>
    </row>
    <row r="133" spans="2:5" ht="12.75" customHeight="1" x14ac:dyDescent="0.35">
      <c r="B133" s="55"/>
      <c r="D133" s="31"/>
      <c r="E133" s="31"/>
    </row>
    <row r="134" spans="2:5" ht="12.75" customHeight="1" x14ac:dyDescent="0.35">
      <c r="B134" s="54"/>
      <c r="D134" s="31"/>
      <c r="E134" s="31"/>
    </row>
    <row r="135" spans="2:5" ht="12.75" customHeight="1" x14ac:dyDescent="0.35">
      <c r="B135" s="55"/>
      <c r="D135" s="31"/>
      <c r="E135" s="31"/>
    </row>
    <row r="136" spans="2:5" ht="12.75" customHeight="1" x14ac:dyDescent="0.35">
      <c r="B136" s="55"/>
      <c r="D136" s="31"/>
      <c r="E136" s="31"/>
    </row>
    <row r="137" spans="2:5" ht="12.75" customHeight="1" x14ac:dyDescent="0.35">
      <c r="B137" s="54"/>
      <c r="D137" s="31"/>
      <c r="E137" s="31"/>
    </row>
    <row r="138" spans="2:5" ht="12.75" customHeight="1" x14ac:dyDescent="0.35">
      <c r="B138" s="55"/>
      <c r="D138" s="31"/>
      <c r="E138" s="31"/>
    </row>
    <row r="139" spans="2:5" ht="12.75" customHeight="1" x14ac:dyDescent="0.35">
      <c r="B139" s="54"/>
      <c r="D139" s="31"/>
      <c r="E139" s="31"/>
    </row>
    <row r="140" spans="2:5" ht="12.75" customHeight="1" x14ac:dyDescent="0.35">
      <c r="B140" s="54"/>
      <c r="D140" s="31"/>
      <c r="E140" s="31"/>
    </row>
    <row r="141" spans="2:5" ht="12.75" customHeight="1" x14ac:dyDescent="0.35">
      <c r="B141" s="54"/>
      <c r="D141" s="31"/>
      <c r="E141" s="31"/>
    </row>
    <row r="142" spans="2:5" ht="12.75" customHeight="1" x14ac:dyDescent="0.35">
      <c r="B142" s="54"/>
      <c r="D142" s="31"/>
      <c r="E142" s="31"/>
    </row>
    <row r="143" spans="2:5" ht="12.75" customHeight="1" x14ac:dyDescent="0.35">
      <c r="B143" s="54"/>
      <c r="D143" s="31"/>
      <c r="E143" s="31"/>
    </row>
    <row r="144" spans="2:5" ht="12.75" customHeight="1" x14ac:dyDescent="0.35">
      <c r="B144" s="54"/>
      <c r="D144" s="31"/>
      <c r="E144" s="31"/>
    </row>
    <row r="145" spans="2:5" ht="12.75" customHeight="1" x14ac:dyDescent="0.35">
      <c r="B145" s="54"/>
      <c r="D145" s="31"/>
      <c r="E145" s="31"/>
    </row>
    <row r="146" spans="2:5" ht="12.75" customHeight="1" x14ac:dyDescent="0.35">
      <c r="B146" s="54"/>
      <c r="D146" s="31"/>
      <c r="E146" s="31"/>
    </row>
    <row r="147" spans="2:5" ht="12.75" customHeight="1" x14ac:dyDescent="0.35">
      <c r="B147" s="54"/>
      <c r="D147" s="31"/>
      <c r="E147" s="31"/>
    </row>
    <row r="148" spans="2:5" ht="12.75" customHeight="1" x14ac:dyDescent="0.35">
      <c r="B148" s="54"/>
      <c r="D148" s="31"/>
      <c r="E148" s="31"/>
    </row>
    <row r="149" spans="2:5" ht="12.75" customHeight="1" x14ac:dyDescent="0.35">
      <c r="B149" s="54"/>
      <c r="D149" s="31"/>
      <c r="E149" s="31"/>
    </row>
    <row r="150" spans="2:5" ht="12.75" customHeight="1" x14ac:dyDescent="0.35">
      <c r="B150" s="54"/>
      <c r="D150" s="31"/>
      <c r="E150" s="31"/>
    </row>
    <row r="151" spans="2:5" ht="12.75" customHeight="1" x14ac:dyDescent="0.35">
      <c r="B151" s="54"/>
      <c r="D151" s="31"/>
      <c r="E151" s="31"/>
    </row>
    <row r="152" spans="2:5" ht="12.75" customHeight="1" x14ac:dyDescent="0.35">
      <c r="B152" s="31"/>
      <c r="D152" s="31"/>
      <c r="E152" s="31"/>
    </row>
    <row r="153" spans="2:5" ht="12.75" customHeight="1" x14ac:dyDescent="0.35">
      <c r="B153" s="31"/>
      <c r="D153" s="31"/>
      <c r="E153" s="31"/>
    </row>
    <row r="154" spans="2:5" ht="12.75" customHeight="1" x14ac:dyDescent="0.35">
      <c r="B154" s="31"/>
      <c r="D154" s="31"/>
      <c r="E154" s="31"/>
    </row>
    <row r="155" spans="2:5" ht="12.75" customHeight="1" x14ac:dyDescent="0.35">
      <c r="B155" s="31"/>
      <c r="D155" s="31"/>
      <c r="E155" s="31"/>
    </row>
    <row r="156" spans="2:5" ht="12.75" customHeight="1" x14ac:dyDescent="0.35">
      <c r="B156" s="31"/>
      <c r="D156" s="31"/>
      <c r="E156" s="31"/>
    </row>
    <row r="157" spans="2:5" ht="12.75" customHeight="1" x14ac:dyDescent="0.35">
      <c r="B157" s="31"/>
      <c r="D157" s="31"/>
      <c r="E157" s="31"/>
    </row>
    <row r="158" spans="2:5" ht="12.75" customHeight="1" x14ac:dyDescent="0.35">
      <c r="B158" s="31"/>
      <c r="D158" s="31"/>
      <c r="E158" s="31"/>
    </row>
    <row r="159" spans="2:5" ht="12.75" customHeight="1" x14ac:dyDescent="0.35">
      <c r="B159" s="31"/>
      <c r="D159" s="31"/>
      <c r="E159" s="31"/>
    </row>
    <row r="160" spans="2:5" ht="12.75" customHeight="1" x14ac:dyDescent="0.35">
      <c r="B160" s="31"/>
      <c r="D160" s="31"/>
      <c r="E160" s="31"/>
    </row>
    <row r="161" spans="2:5" ht="12.75" customHeight="1" x14ac:dyDescent="0.35">
      <c r="B161" s="31"/>
      <c r="D161" s="31"/>
      <c r="E161" s="31"/>
    </row>
    <row r="162" spans="2:5" ht="12.75" customHeight="1" x14ac:dyDescent="0.35">
      <c r="B162" s="31"/>
      <c r="D162" s="31"/>
      <c r="E162" s="31"/>
    </row>
    <row r="163" spans="2:5" ht="12.75" customHeight="1" x14ac:dyDescent="0.35">
      <c r="B163" s="31"/>
      <c r="D163" s="31"/>
      <c r="E163" s="31"/>
    </row>
    <row r="164" spans="2:5" ht="12.75" customHeight="1" x14ac:dyDescent="0.35">
      <c r="B164" s="31"/>
      <c r="D164" s="31"/>
      <c r="E164" s="31"/>
    </row>
    <row r="165" spans="2:5" ht="12.75" customHeight="1" x14ac:dyDescent="0.35">
      <c r="B165" s="31"/>
      <c r="D165" s="31"/>
      <c r="E165" s="31"/>
    </row>
    <row r="166" spans="2:5" ht="12.75" customHeight="1" x14ac:dyDescent="0.35">
      <c r="B166" s="31"/>
      <c r="D166" s="31"/>
      <c r="E166" s="31"/>
    </row>
    <row r="167" spans="2:5" ht="12.75" customHeight="1" x14ac:dyDescent="0.35">
      <c r="B167" s="31"/>
      <c r="D167" s="31"/>
      <c r="E167" s="31"/>
    </row>
    <row r="168" spans="2:5" ht="12.75" customHeight="1" x14ac:dyDescent="0.35">
      <c r="B168" s="31"/>
      <c r="D168" s="31"/>
      <c r="E168" s="31"/>
    </row>
    <row r="169" spans="2:5" ht="12.75" customHeight="1" x14ac:dyDescent="0.35">
      <c r="B169" s="31"/>
      <c r="D169" s="31"/>
      <c r="E169" s="31"/>
    </row>
    <row r="170" spans="2:5" ht="12.75" customHeight="1" x14ac:dyDescent="0.35">
      <c r="B170" s="31"/>
      <c r="D170" s="31"/>
      <c r="E170" s="31"/>
    </row>
    <row r="171" spans="2:5" ht="12.75" customHeight="1" x14ac:dyDescent="0.35">
      <c r="B171" s="31"/>
      <c r="D171" s="31"/>
      <c r="E171" s="31"/>
    </row>
    <row r="172" spans="2:5" ht="12.75" customHeight="1" x14ac:dyDescent="0.35">
      <c r="B172" s="31"/>
      <c r="D172" s="31"/>
      <c r="E172" s="31"/>
    </row>
    <row r="173" spans="2:5" ht="12.75" customHeight="1" x14ac:dyDescent="0.35">
      <c r="B173" s="31"/>
      <c r="D173" s="31"/>
      <c r="E173" s="31"/>
    </row>
    <row r="174" spans="2:5" ht="12.75" customHeight="1" x14ac:dyDescent="0.35">
      <c r="B174" s="31"/>
      <c r="D174" s="31"/>
      <c r="E174" s="31"/>
    </row>
    <row r="175" spans="2:5" ht="12.75" customHeight="1" x14ac:dyDescent="0.35">
      <c r="B175" s="31"/>
      <c r="D175" s="31"/>
      <c r="E175" s="31"/>
    </row>
    <row r="176" spans="2:5" ht="12.75" customHeight="1" x14ac:dyDescent="0.35">
      <c r="B176" s="31"/>
      <c r="D176" s="31"/>
      <c r="E176" s="31"/>
    </row>
    <row r="177" spans="2:5" ht="12.75" customHeight="1" x14ac:dyDescent="0.35">
      <c r="B177" s="31"/>
      <c r="D177" s="31"/>
      <c r="E177" s="31"/>
    </row>
    <row r="178" spans="2:5" ht="12.75" customHeight="1" x14ac:dyDescent="0.35">
      <c r="B178" s="31"/>
      <c r="D178" s="31"/>
      <c r="E178" s="31"/>
    </row>
    <row r="179" spans="2:5" ht="12.75" customHeight="1" x14ac:dyDescent="0.35">
      <c r="B179" s="31"/>
      <c r="D179" s="31"/>
      <c r="E179" s="31"/>
    </row>
    <row r="180" spans="2:5" ht="12.75" customHeight="1" x14ac:dyDescent="0.35">
      <c r="B180" s="31"/>
      <c r="D180" s="31"/>
      <c r="E180" s="31"/>
    </row>
    <row r="181" spans="2:5" ht="12.75" customHeight="1" x14ac:dyDescent="0.35">
      <c r="B181" s="31"/>
      <c r="D181" s="31"/>
      <c r="E181" s="31"/>
    </row>
    <row r="182" spans="2:5" ht="12.75" customHeight="1" x14ac:dyDescent="0.35">
      <c r="B182" s="31"/>
      <c r="D182" s="31"/>
      <c r="E182" s="31"/>
    </row>
    <row r="183" spans="2:5" ht="12.75" customHeight="1" x14ac:dyDescent="0.35">
      <c r="B183" s="31"/>
      <c r="D183" s="31"/>
      <c r="E183" s="31"/>
    </row>
    <row r="184" spans="2:5" ht="12.75" customHeight="1" x14ac:dyDescent="0.35">
      <c r="B184" s="31"/>
      <c r="D184" s="31"/>
      <c r="E184" s="31"/>
    </row>
    <row r="185" spans="2:5" ht="12.75" customHeight="1" x14ac:dyDescent="0.35">
      <c r="B185" s="31"/>
      <c r="D185" s="31"/>
      <c r="E185" s="31"/>
    </row>
    <row r="186" spans="2:5" ht="12.75" customHeight="1" x14ac:dyDescent="0.35">
      <c r="B186" s="31"/>
      <c r="D186" s="31"/>
      <c r="E186" s="31"/>
    </row>
    <row r="187" spans="2:5" ht="12.75" customHeight="1" x14ac:dyDescent="0.35">
      <c r="B187" s="31"/>
      <c r="D187" s="31"/>
      <c r="E187" s="31"/>
    </row>
    <row r="188" spans="2:5" ht="12.75" customHeight="1" x14ac:dyDescent="0.35">
      <c r="B188" s="31"/>
      <c r="D188" s="31"/>
      <c r="E188" s="31"/>
    </row>
    <row r="189" spans="2:5" ht="12.75" customHeight="1" x14ac:dyDescent="0.35">
      <c r="B189" s="31"/>
      <c r="D189" s="31"/>
      <c r="E189" s="31"/>
    </row>
    <row r="190" spans="2:5" ht="12.75" customHeight="1" x14ac:dyDescent="0.35">
      <c r="B190" s="31"/>
      <c r="D190" s="31"/>
      <c r="E190" s="31"/>
    </row>
    <row r="191" spans="2:5" ht="12.75" customHeight="1" x14ac:dyDescent="0.35">
      <c r="B191" s="31"/>
      <c r="D191" s="31"/>
      <c r="E191" s="31"/>
    </row>
    <row r="192" spans="2:5" ht="12.75" customHeight="1" x14ac:dyDescent="0.35">
      <c r="B192" s="31"/>
      <c r="D192" s="31"/>
      <c r="E192" s="31"/>
    </row>
    <row r="193" spans="2:5" ht="12.75" customHeight="1" x14ac:dyDescent="0.35">
      <c r="B193" s="31"/>
      <c r="D193" s="31"/>
      <c r="E193" s="31"/>
    </row>
    <row r="194" spans="2:5" ht="12.75" customHeight="1" x14ac:dyDescent="0.35">
      <c r="B194" s="31"/>
      <c r="D194" s="31"/>
      <c r="E194" s="31"/>
    </row>
    <row r="195" spans="2:5" ht="12.75" customHeight="1" x14ac:dyDescent="0.35">
      <c r="B195" s="31"/>
      <c r="D195" s="31"/>
      <c r="E195" s="31"/>
    </row>
    <row r="196" spans="2:5" ht="12.75" customHeight="1" x14ac:dyDescent="0.35">
      <c r="B196" s="31"/>
      <c r="D196" s="31"/>
      <c r="E196" s="31"/>
    </row>
    <row r="197" spans="2:5" ht="12.75" customHeight="1" x14ac:dyDescent="0.35">
      <c r="B197" s="31"/>
      <c r="D197" s="31"/>
      <c r="E197" s="31"/>
    </row>
    <row r="198" spans="2:5" ht="12.75" customHeight="1" x14ac:dyDescent="0.35">
      <c r="B198" s="31"/>
      <c r="D198" s="31"/>
      <c r="E198" s="31"/>
    </row>
    <row r="199" spans="2:5" ht="12.75" customHeight="1" x14ac:dyDescent="0.35">
      <c r="B199" s="31"/>
      <c r="D199" s="31"/>
      <c r="E199" s="31"/>
    </row>
    <row r="200" spans="2:5" ht="12.75" customHeight="1" x14ac:dyDescent="0.35">
      <c r="B200" s="31"/>
      <c r="D200" s="31"/>
      <c r="E200" s="31"/>
    </row>
    <row r="201" spans="2:5" ht="12.75" customHeight="1" x14ac:dyDescent="0.35">
      <c r="B201" s="31"/>
      <c r="D201" s="31"/>
      <c r="E201" s="31"/>
    </row>
    <row r="202" spans="2:5" ht="12.75" customHeight="1" x14ac:dyDescent="0.35">
      <c r="B202" s="31"/>
      <c r="D202" s="31"/>
      <c r="E202" s="31"/>
    </row>
    <row r="203" spans="2:5" ht="12.75" customHeight="1" x14ac:dyDescent="0.35">
      <c r="B203" s="31"/>
      <c r="D203" s="31"/>
      <c r="E203" s="31"/>
    </row>
    <row r="204" spans="2:5" ht="12.75" customHeight="1" x14ac:dyDescent="0.35">
      <c r="B204" s="31"/>
      <c r="D204" s="31"/>
      <c r="E204" s="31"/>
    </row>
    <row r="205" spans="2:5" ht="12.75" customHeight="1" x14ac:dyDescent="0.35">
      <c r="B205" s="31"/>
      <c r="D205" s="31"/>
      <c r="E205" s="31"/>
    </row>
    <row r="206" spans="2:5" ht="12.75" customHeight="1" x14ac:dyDescent="0.35">
      <c r="B206" s="31"/>
      <c r="D206" s="31"/>
      <c r="E206" s="31"/>
    </row>
    <row r="207" spans="2:5" ht="12.75" customHeight="1" x14ac:dyDescent="0.35">
      <c r="B207" s="31"/>
      <c r="D207" s="31"/>
      <c r="E207" s="31"/>
    </row>
    <row r="208" spans="2:5" ht="12.75" customHeight="1" x14ac:dyDescent="0.35">
      <c r="B208" s="31"/>
      <c r="D208" s="31"/>
      <c r="E208" s="31"/>
    </row>
    <row r="209" spans="2:5" ht="12.75" customHeight="1" x14ac:dyDescent="0.35">
      <c r="B209" s="31"/>
      <c r="D209" s="31"/>
      <c r="E209" s="31"/>
    </row>
    <row r="210" spans="2:5" ht="12.75" customHeight="1" x14ac:dyDescent="0.35">
      <c r="B210" s="31"/>
      <c r="D210" s="31"/>
      <c r="E210" s="31"/>
    </row>
    <row r="211" spans="2:5" ht="12.75" customHeight="1" x14ac:dyDescent="0.35">
      <c r="B211" s="31"/>
      <c r="D211" s="31"/>
      <c r="E211" s="31"/>
    </row>
    <row r="212" spans="2:5" ht="12.75" customHeight="1" x14ac:dyDescent="0.35">
      <c r="B212" s="31"/>
      <c r="D212" s="31"/>
      <c r="E212" s="31"/>
    </row>
    <row r="213" spans="2:5" ht="12.75" customHeight="1" x14ac:dyDescent="0.35">
      <c r="B213" s="31"/>
      <c r="D213" s="31"/>
      <c r="E213" s="31"/>
    </row>
    <row r="214" spans="2:5" ht="12.75" customHeight="1" x14ac:dyDescent="0.35">
      <c r="B214" s="31"/>
      <c r="D214" s="31"/>
      <c r="E214" s="31"/>
    </row>
    <row r="215" spans="2:5" ht="12.75" customHeight="1" x14ac:dyDescent="0.35">
      <c r="B215" s="31"/>
      <c r="D215" s="31"/>
      <c r="E215" s="31"/>
    </row>
    <row r="216" spans="2:5" ht="12.75" customHeight="1" x14ac:dyDescent="0.35">
      <c r="B216" s="31"/>
      <c r="D216" s="31"/>
      <c r="E216" s="31"/>
    </row>
    <row r="217" spans="2:5" ht="12.75" customHeight="1" x14ac:dyDescent="0.35">
      <c r="B217" s="31"/>
      <c r="D217" s="31"/>
      <c r="E217" s="31"/>
    </row>
    <row r="218" spans="2:5" ht="12.75" customHeight="1" x14ac:dyDescent="0.35">
      <c r="B218" s="31"/>
      <c r="D218" s="31"/>
      <c r="E218" s="31"/>
    </row>
    <row r="219" spans="2:5" ht="12.75" customHeight="1" x14ac:dyDescent="0.35">
      <c r="B219" s="31"/>
      <c r="D219" s="31"/>
      <c r="E219" s="31"/>
    </row>
    <row r="220" spans="2:5" ht="12.75" customHeight="1" x14ac:dyDescent="0.35">
      <c r="B220" s="31"/>
      <c r="D220" s="31"/>
      <c r="E220" s="31"/>
    </row>
    <row r="221" spans="2:5" ht="12.75" customHeight="1" x14ac:dyDescent="0.35">
      <c r="B221" s="31"/>
      <c r="D221" s="31"/>
      <c r="E221" s="31"/>
    </row>
    <row r="222" spans="2:5" ht="12.75" customHeight="1" x14ac:dyDescent="0.35">
      <c r="B222" s="31"/>
      <c r="D222" s="31"/>
      <c r="E222" s="31"/>
    </row>
    <row r="223" spans="2:5" ht="12.75" customHeight="1" x14ac:dyDescent="0.35">
      <c r="B223" s="31"/>
      <c r="D223" s="31"/>
      <c r="E223" s="31"/>
    </row>
    <row r="224" spans="2:5" ht="12.75" customHeight="1" x14ac:dyDescent="0.35">
      <c r="B224" s="31"/>
      <c r="D224" s="31"/>
      <c r="E224" s="31"/>
    </row>
    <row r="225" spans="2:5" ht="12.75" customHeight="1" x14ac:dyDescent="0.35">
      <c r="B225" s="31"/>
      <c r="D225" s="31"/>
      <c r="E225" s="31"/>
    </row>
    <row r="226" spans="2:5" ht="12.75" customHeight="1" x14ac:dyDescent="0.35">
      <c r="B226" s="31"/>
      <c r="D226" s="31"/>
      <c r="E226" s="31"/>
    </row>
    <row r="227" spans="2:5" ht="12.75" customHeight="1" x14ac:dyDescent="0.35">
      <c r="B227" s="31"/>
      <c r="D227" s="31"/>
      <c r="E227" s="31"/>
    </row>
    <row r="228" spans="2:5" ht="12.75" customHeight="1" x14ac:dyDescent="0.35">
      <c r="B228" s="31"/>
      <c r="D228" s="31"/>
      <c r="E228" s="31"/>
    </row>
    <row r="229" spans="2:5" ht="12.75" customHeight="1" x14ac:dyDescent="0.35">
      <c r="B229" s="31"/>
      <c r="D229" s="31"/>
      <c r="E229" s="31"/>
    </row>
    <row r="230" spans="2:5" ht="12.75" customHeight="1" x14ac:dyDescent="0.35">
      <c r="B230" s="31"/>
      <c r="D230" s="31"/>
      <c r="E230" s="31"/>
    </row>
    <row r="231" spans="2:5" ht="12.75" customHeight="1" x14ac:dyDescent="0.35">
      <c r="B231" s="31"/>
      <c r="D231" s="31"/>
      <c r="E231" s="31"/>
    </row>
    <row r="232" spans="2:5" ht="12.75" customHeight="1" x14ac:dyDescent="0.35">
      <c r="B232" s="31"/>
      <c r="D232" s="31"/>
      <c r="E232" s="31"/>
    </row>
    <row r="233" spans="2:5" ht="12.75" customHeight="1" x14ac:dyDescent="0.35">
      <c r="B233" s="31"/>
      <c r="D233" s="31"/>
      <c r="E233" s="31"/>
    </row>
    <row r="234" spans="2:5" ht="12.75" customHeight="1" x14ac:dyDescent="0.35">
      <c r="B234" s="31"/>
      <c r="D234" s="31"/>
      <c r="E234" s="31"/>
    </row>
    <row r="235" spans="2:5" ht="12.75" customHeight="1" x14ac:dyDescent="0.35">
      <c r="B235" s="31"/>
      <c r="D235" s="31"/>
      <c r="E235" s="31"/>
    </row>
    <row r="236" spans="2:5" ht="12.75" customHeight="1" x14ac:dyDescent="0.35">
      <c r="B236" s="31"/>
      <c r="D236" s="31"/>
      <c r="E236" s="31"/>
    </row>
    <row r="237" spans="2:5" ht="12.75" customHeight="1" x14ac:dyDescent="0.35">
      <c r="B237" s="31"/>
      <c r="D237" s="31"/>
      <c r="E237" s="31"/>
    </row>
    <row r="238" spans="2:5" ht="12.75" customHeight="1" x14ac:dyDescent="0.35">
      <c r="B238" s="31"/>
      <c r="D238" s="31"/>
      <c r="E238" s="31"/>
    </row>
    <row r="239" spans="2:5" ht="12.75" customHeight="1" x14ac:dyDescent="0.35">
      <c r="B239" s="31"/>
      <c r="D239" s="31"/>
      <c r="E239" s="31"/>
    </row>
    <row r="240" spans="2:5" ht="12.75" customHeight="1" x14ac:dyDescent="0.35">
      <c r="B240" s="31"/>
      <c r="D240" s="31"/>
      <c r="E240" s="31"/>
    </row>
    <row r="241" spans="2:5" ht="12.75" customHeight="1" x14ac:dyDescent="0.35">
      <c r="B241" s="31"/>
      <c r="D241" s="31"/>
      <c r="E241" s="31"/>
    </row>
    <row r="242" spans="2:5" ht="12.75" customHeight="1" x14ac:dyDescent="0.35">
      <c r="B242" s="31"/>
      <c r="D242" s="31"/>
      <c r="E242" s="31"/>
    </row>
    <row r="243" spans="2:5" ht="12.75" customHeight="1" x14ac:dyDescent="0.35">
      <c r="B243" s="31"/>
      <c r="D243" s="31"/>
      <c r="E243" s="31"/>
    </row>
    <row r="244" spans="2:5" ht="12.75" customHeight="1" x14ac:dyDescent="0.35">
      <c r="B244" s="31"/>
      <c r="D244" s="31"/>
      <c r="E244" s="31"/>
    </row>
    <row r="245" spans="2:5" ht="12.75" customHeight="1" x14ac:dyDescent="0.35">
      <c r="B245" s="31"/>
      <c r="D245" s="31"/>
      <c r="E245" s="31"/>
    </row>
    <row r="246" spans="2:5" ht="12.75" customHeight="1" x14ac:dyDescent="0.35">
      <c r="B246" s="31"/>
      <c r="D246" s="31"/>
      <c r="E246" s="31"/>
    </row>
    <row r="247" spans="2:5" ht="12.75" customHeight="1" x14ac:dyDescent="0.35">
      <c r="B247" s="31"/>
      <c r="D247" s="31"/>
      <c r="E247" s="31"/>
    </row>
    <row r="248" spans="2:5" ht="12.75" customHeight="1" x14ac:dyDescent="0.35">
      <c r="B248" s="31"/>
      <c r="D248" s="31"/>
      <c r="E248" s="31"/>
    </row>
    <row r="249" spans="2:5" ht="12.75" customHeight="1" x14ac:dyDescent="0.35">
      <c r="B249" s="31"/>
      <c r="D249" s="31"/>
      <c r="E249" s="31"/>
    </row>
    <row r="250" spans="2:5" ht="12.75" customHeight="1" x14ac:dyDescent="0.35">
      <c r="B250" s="31"/>
      <c r="D250" s="31"/>
      <c r="E250" s="31"/>
    </row>
    <row r="251" spans="2:5" ht="12.75" customHeight="1" x14ac:dyDescent="0.35">
      <c r="B251" s="31"/>
      <c r="D251" s="31"/>
      <c r="E251" s="31"/>
    </row>
    <row r="252" spans="2:5" ht="12.75" customHeight="1" x14ac:dyDescent="0.35">
      <c r="B252" s="31"/>
      <c r="D252" s="31"/>
      <c r="E252" s="31"/>
    </row>
    <row r="253" spans="2:5" ht="12.75" customHeight="1" x14ac:dyDescent="0.35">
      <c r="B253" s="31"/>
      <c r="D253" s="31"/>
      <c r="E253" s="31"/>
    </row>
    <row r="254" spans="2:5" ht="12.75" customHeight="1" x14ac:dyDescent="0.35">
      <c r="B254" s="31"/>
      <c r="D254" s="31"/>
      <c r="E254" s="31"/>
    </row>
    <row r="255" spans="2:5" ht="12.75" customHeight="1" x14ac:dyDescent="0.35">
      <c r="B255" s="31"/>
      <c r="D255" s="31"/>
      <c r="E255" s="31"/>
    </row>
    <row r="256" spans="2:5" ht="12.75" customHeight="1" x14ac:dyDescent="0.35">
      <c r="B256" s="31"/>
      <c r="D256" s="31"/>
      <c r="E256" s="31"/>
    </row>
    <row r="257" spans="2:5" ht="12.75" customHeight="1" x14ac:dyDescent="0.35">
      <c r="B257" s="31"/>
      <c r="D257" s="31"/>
      <c r="E257" s="31"/>
    </row>
    <row r="258" spans="2:5" ht="12.75" customHeight="1" x14ac:dyDescent="0.35">
      <c r="B258" s="31"/>
      <c r="D258" s="31"/>
      <c r="E258" s="31"/>
    </row>
    <row r="259" spans="2:5" ht="12.75" customHeight="1" x14ac:dyDescent="0.35">
      <c r="B259" s="31"/>
      <c r="D259" s="31"/>
      <c r="E259" s="31"/>
    </row>
    <row r="260" spans="2:5" ht="12.75" customHeight="1" x14ac:dyDescent="0.35">
      <c r="B260" s="31"/>
      <c r="D260" s="31"/>
      <c r="E260" s="31"/>
    </row>
    <row r="261" spans="2:5" ht="12.75" customHeight="1" x14ac:dyDescent="0.35">
      <c r="B261" s="31"/>
      <c r="D261" s="31"/>
      <c r="E261" s="31"/>
    </row>
    <row r="262" spans="2:5" ht="12.75" customHeight="1" x14ac:dyDescent="0.35">
      <c r="B262" s="31"/>
      <c r="D262" s="31"/>
      <c r="E262" s="31"/>
    </row>
    <row r="263" spans="2:5" ht="12.75" customHeight="1" x14ac:dyDescent="0.35">
      <c r="B263" s="31"/>
      <c r="D263" s="31"/>
      <c r="E263" s="31"/>
    </row>
    <row r="264" spans="2:5" ht="12.75" customHeight="1" x14ac:dyDescent="0.35">
      <c r="B264" s="31"/>
      <c r="D264" s="31"/>
      <c r="E264" s="31"/>
    </row>
    <row r="265" spans="2:5" ht="12.75" customHeight="1" x14ac:dyDescent="0.35">
      <c r="B265" s="31"/>
      <c r="D265" s="31"/>
      <c r="E265" s="31"/>
    </row>
    <row r="266" spans="2:5" ht="12.75" customHeight="1" x14ac:dyDescent="0.35">
      <c r="B266" s="31"/>
      <c r="D266" s="31"/>
      <c r="E266" s="31"/>
    </row>
    <row r="267" spans="2:5" ht="12.75" customHeight="1" x14ac:dyDescent="0.35">
      <c r="B267" s="31"/>
      <c r="D267" s="31"/>
      <c r="E267" s="31"/>
    </row>
    <row r="268" spans="2:5" ht="12.75" customHeight="1" x14ac:dyDescent="0.35">
      <c r="B268" s="31"/>
      <c r="D268" s="31"/>
      <c r="E268" s="31"/>
    </row>
    <row r="269" spans="2:5" ht="12.75" customHeight="1" x14ac:dyDescent="0.35">
      <c r="B269" s="31"/>
      <c r="D269" s="31"/>
      <c r="E269" s="31"/>
    </row>
    <row r="270" spans="2:5" ht="12.75" customHeight="1" x14ac:dyDescent="0.35">
      <c r="B270" s="31"/>
      <c r="D270" s="31"/>
      <c r="E270" s="31"/>
    </row>
    <row r="271" spans="2:5" ht="12.75" customHeight="1" x14ac:dyDescent="0.35">
      <c r="B271" s="31"/>
      <c r="D271" s="31"/>
      <c r="E271" s="31"/>
    </row>
    <row r="272" spans="2:5" ht="12.75" customHeight="1" x14ac:dyDescent="0.35">
      <c r="B272" s="31"/>
      <c r="D272" s="31"/>
      <c r="E272" s="31"/>
    </row>
    <row r="273" spans="2:5" ht="12.75" customHeight="1" x14ac:dyDescent="0.35">
      <c r="B273" s="31"/>
      <c r="D273" s="31"/>
      <c r="E273" s="31"/>
    </row>
    <row r="274" spans="2:5" ht="12.75" customHeight="1" x14ac:dyDescent="0.35">
      <c r="B274" s="31"/>
      <c r="D274" s="31"/>
      <c r="E274" s="31"/>
    </row>
    <row r="275" spans="2:5" ht="12.75" customHeight="1" x14ac:dyDescent="0.35">
      <c r="B275" s="31"/>
      <c r="D275" s="31"/>
      <c r="E275" s="31"/>
    </row>
    <row r="276" spans="2:5" ht="12.75" customHeight="1" x14ac:dyDescent="0.35">
      <c r="B276" s="31"/>
      <c r="D276" s="31"/>
      <c r="E276" s="31"/>
    </row>
    <row r="277" spans="2:5" ht="12.75" customHeight="1" x14ac:dyDescent="0.35">
      <c r="B277" s="31"/>
      <c r="D277" s="31"/>
      <c r="E277" s="31"/>
    </row>
    <row r="278" spans="2:5" ht="12.75" customHeight="1" x14ac:dyDescent="0.35">
      <c r="B278" s="31"/>
      <c r="D278" s="31"/>
      <c r="E278" s="31"/>
    </row>
    <row r="279" spans="2:5" ht="12.75" customHeight="1" x14ac:dyDescent="0.35">
      <c r="B279" s="31"/>
      <c r="D279" s="31"/>
      <c r="E279" s="31"/>
    </row>
    <row r="280" spans="2:5" ht="12.75" customHeight="1" x14ac:dyDescent="0.35">
      <c r="B280" s="31"/>
      <c r="D280" s="31"/>
      <c r="E280" s="31"/>
    </row>
    <row r="281" spans="2:5" ht="12.75" customHeight="1" x14ac:dyDescent="0.35">
      <c r="B281" s="31"/>
      <c r="D281" s="31"/>
      <c r="E281" s="31"/>
    </row>
    <row r="282" spans="2:5" ht="12.75" customHeight="1" x14ac:dyDescent="0.35">
      <c r="B282" s="31"/>
      <c r="D282" s="31"/>
      <c r="E282" s="31"/>
    </row>
    <row r="283" spans="2:5" ht="12.75" customHeight="1" x14ac:dyDescent="0.35">
      <c r="B283" s="31"/>
      <c r="D283" s="31"/>
      <c r="E283" s="31"/>
    </row>
    <row r="284" spans="2:5" ht="12.75" customHeight="1" x14ac:dyDescent="0.35">
      <c r="B284" s="31"/>
      <c r="D284" s="31"/>
      <c r="E284" s="31"/>
    </row>
    <row r="285" spans="2:5" ht="12.75" customHeight="1" x14ac:dyDescent="0.35">
      <c r="B285" s="31"/>
      <c r="D285" s="31"/>
      <c r="E285" s="31"/>
    </row>
    <row r="286" spans="2:5" ht="12.75" customHeight="1" x14ac:dyDescent="0.35">
      <c r="B286" s="31"/>
      <c r="D286" s="31"/>
      <c r="E286" s="31"/>
    </row>
    <row r="287" spans="2:5" ht="12.75" customHeight="1" x14ac:dyDescent="0.35">
      <c r="B287" s="31"/>
      <c r="D287" s="31"/>
      <c r="E287" s="31"/>
    </row>
    <row r="288" spans="2:5" ht="12.75" customHeight="1" x14ac:dyDescent="0.35">
      <c r="B288" s="31"/>
      <c r="D288" s="31"/>
      <c r="E288" s="31"/>
    </row>
    <row r="289" spans="2:5" ht="12.75" customHeight="1" x14ac:dyDescent="0.35">
      <c r="B289" s="31"/>
      <c r="D289" s="31"/>
      <c r="E289" s="31"/>
    </row>
    <row r="290" spans="2:5" ht="12.75" customHeight="1" x14ac:dyDescent="0.35">
      <c r="B290" s="31"/>
      <c r="D290" s="31"/>
      <c r="E290" s="31"/>
    </row>
    <row r="291" spans="2:5" ht="12.75" customHeight="1" x14ac:dyDescent="0.35">
      <c r="B291" s="31"/>
      <c r="D291" s="31"/>
      <c r="E291" s="31"/>
    </row>
    <row r="292" spans="2:5" ht="12.75" customHeight="1" x14ac:dyDescent="0.35">
      <c r="B292" s="31"/>
      <c r="D292" s="31"/>
      <c r="E292" s="31"/>
    </row>
    <row r="293" spans="2:5" ht="12.75" customHeight="1" x14ac:dyDescent="0.35">
      <c r="B293" s="31"/>
      <c r="D293" s="31"/>
      <c r="E293" s="31"/>
    </row>
    <row r="294" spans="2:5" ht="12.75" customHeight="1" x14ac:dyDescent="0.35">
      <c r="B294" s="31"/>
      <c r="D294" s="31"/>
      <c r="E294" s="31"/>
    </row>
    <row r="295" spans="2:5" ht="12.75" customHeight="1" x14ac:dyDescent="0.35">
      <c r="B295" s="31"/>
      <c r="D295" s="31"/>
      <c r="E295" s="31"/>
    </row>
    <row r="296" spans="2:5" ht="12.75" customHeight="1" x14ac:dyDescent="0.35">
      <c r="B296" s="31"/>
      <c r="D296" s="31"/>
      <c r="E296" s="31"/>
    </row>
    <row r="297" spans="2:5" ht="12.75" customHeight="1" x14ac:dyDescent="0.35">
      <c r="B297" s="31"/>
      <c r="D297" s="31"/>
      <c r="E297" s="31"/>
    </row>
    <row r="298" spans="2:5" ht="12.75" customHeight="1" x14ac:dyDescent="0.35">
      <c r="B298" s="31"/>
      <c r="D298" s="31"/>
      <c r="E298" s="31"/>
    </row>
    <row r="299" spans="2:5" ht="12.75" customHeight="1" x14ac:dyDescent="0.35">
      <c r="B299" s="31"/>
      <c r="D299" s="31"/>
      <c r="E299" s="31"/>
    </row>
    <row r="300" spans="2:5" ht="12.75" customHeight="1" x14ac:dyDescent="0.35">
      <c r="B300" s="31"/>
      <c r="D300" s="31"/>
      <c r="E300" s="31"/>
    </row>
    <row r="301" spans="2:5" ht="12.75" customHeight="1" x14ac:dyDescent="0.35">
      <c r="B301" s="31"/>
      <c r="D301" s="31"/>
      <c r="E301" s="31"/>
    </row>
    <row r="302" spans="2:5" ht="12.75" customHeight="1" x14ac:dyDescent="0.35">
      <c r="B302" s="31"/>
      <c r="D302" s="31"/>
      <c r="E302" s="31"/>
    </row>
    <row r="303" spans="2:5" ht="12.75" customHeight="1" x14ac:dyDescent="0.35">
      <c r="B303" s="31"/>
      <c r="D303" s="31"/>
      <c r="E303" s="31"/>
    </row>
    <row r="304" spans="2:5" ht="12.75" customHeight="1" x14ac:dyDescent="0.35">
      <c r="B304" s="31"/>
      <c r="D304" s="31"/>
      <c r="E304" s="31"/>
    </row>
    <row r="305" spans="2:5" ht="12.75" customHeight="1" x14ac:dyDescent="0.35">
      <c r="B305" s="31"/>
      <c r="D305" s="31"/>
      <c r="E305" s="31"/>
    </row>
    <row r="306" spans="2:5" ht="12.75" customHeight="1" x14ac:dyDescent="0.35">
      <c r="B306" s="31"/>
      <c r="D306" s="31"/>
      <c r="E306" s="31"/>
    </row>
    <row r="307" spans="2:5" ht="12.75" customHeight="1" x14ac:dyDescent="0.35">
      <c r="B307" s="31"/>
      <c r="D307" s="31"/>
      <c r="E307" s="31"/>
    </row>
    <row r="308" spans="2:5" ht="12.75" customHeight="1" x14ac:dyDescent="0.35">
      <c r="B308" s="31"/>
      <c r="D308" s="31"/>
      <c r="E308" s="31"/>
    </row>
    <row r="309" spans="2:5" ht="12.75" customHeight="1" x14ac:dyDescent="0.35">
      <c r="B309" s="31"/>
      <c r="D309" s="31"/>
      <c r="E309" s="31"/>
    </row>
    <row r="310" spans="2:5" ht="12.75" customHeight="1" x14ac:dyDescent="0.35">
      <c r="B310" s="31"/>
      <c r="D310" s="31"/>
      <c r="E310" s="31"/>
    </row>
    <row r="311" spans="2:5" ht="12.75" customHeight="1" x14ac:dyDescent="0.35">
      <c r="B311" s="31"/>
      <c r="D311" s="31"/>
      <c r="E311" s="31"/>
    </row>
    <row r="312" spans="2:5" ht="12.75" customHeight="1" x14ac:dyDescent="0.35">
      <c r="B312" s="31"/>
      <c r="D312" s="31"/>
      <c r="E312" s="31"/>
    </row>
    <row r="313" spans="2:5" ht="12.75" customHeight="1" x14ac:dyDescent="0.35">
      <c r="B313" s="31"/>
      <c r="D313" s="31"/>
      <c r="E313" s="31"/>
    </row>
    <row r="314" spans="2:5" ht="12.75" customHeight="1" x14ac:dyDescent="0.35">
      <c r="B314" s="31"/>
      <c r="D314" s="31"/>
      <c r="E314" s="31"/>
    </row>
    <row r="315" spans="2:5" ht="12.75" customHeight="1" x14ac:dyDescent="0.35">
      <c r="B315" s="31"/>
      <c r="D315" s="31"/>
      <c r="E315" s="31"/>
    </row>
    <row r="316" spans="2:5" ht="12.75" customHeight="1" x14ac:dyDescent="0.35">
      <c r="B316" s="31"/>
      <c r="D316" s="31"/>
      <c r="E316" s="31"/>
    </row>
    <row r="317" spans="2:5" ht="12.75" customHeight="1" x14ac:dyDescent="0.35">
      <c r="B317" s="31"/>
      <c r="D317" s="31"/>
      <c r="E317" s="31"/>
    </row>
    <row r="318" spans="2:5" ht="12.75" customHeight="1" x14ac:dyDescent="0.35">
      <c r="B318" s="31"/>
      <c r="D318" s="31"/>
      <c r="E318" s="31"/>
    </row>
    <row r="319" spans="2:5" ht="12.75" customHeight="1" x14ac:dyDescent="0.35">
      <c r="B319" s="31"/>
      <c r="D319" s="31"/>
      <c r="E319" s="31"/>
    </row>
    <row r="320" spans="2:5" ht="12.75" customHeight="1" x14ac:dyDescent="0.35">
      <c r="B320" s="31"/>
      <c r="D320" s="31"/>
      <c r="E320" s="31"/>
    </row>
    <row r="321" spans="2:5" ht="12.75" customHeight="1" x14ac:dyDescent="0.35">
      <c r="B321" s="31"/>
      <c r="D321" s="31"/>
      <c r="E321" s="31"/>
    </row>
    <row r="322" spans="2:5" ht="12.75" customHeight="1" x14ac:dyDescent="0.35">
      <c r="B322" s="31"/>
      <c r="D322" s="31"/>
      <c r="E322" s="31"/>
    </row>
    <row r="323" spans="2:5" ht="12.75" customHeight="1" x14ac:dyDescent="0.35">
      <c r="B323" s="31"/>
      <c r="D323" s="31"/>
      <c r="E323" s="31"/>
    </row>
    <row r="324" spans="2:5" ht="12.75" customHeight="1" x14ac:dyDescent="0.35">
      <c r="B324" s="31"/>
      <c r="D324" s="31"/>
      <c r="E324" s="31"/>
    </row>
    <row r="325" spans="2:5" ht="12.75" customHeight="1" x14ac:dyDescent="0.35">
      <c r="B325" s="31"/>
      <c r="D325" s="31"/>
      <c r="E325" s="31"/>
    </row>
    <row r="326" spans="2:5" ht="12.75" customHeight="1" x14ac:dyDescent="0.35">
      <c r="B326" s="31"/>
      <c r="D326" s="31"/>
      <c r="E326" s="31"/>
    </row>
    <row r="327" spans="2:5" ht="12.75" customHeight="1" x14ac:dyDescent="0.35">
      <c r="B327" s="31"/>
      <c r="D327" s="31"/>
      <c r="E327" s="31"/>
    </row>
    <row r="328" spans="2:5" ht="12.75" customHeight="1" x14ac:dyDescent="0.35">
      <c r="B328" s="31"/>
      <c r="D328" s="31"/>
      <c r="E328" s="31"/>
    </row>
    <row r="329" spans="2:5" ht="12.75" customHeight="1" x14ac:dyDescent="0.35">
      <c r="B329" s="31"/>
      <c r="D329" s="31"/>
      <c r="E329" s="31"/>
    </row>
    <row r="330" spans="2:5" ht="12.75" customHeight="1" x14ac:dyDescent="0.35">
      <c r="B330" s="31"/>
      <c r="D330" s="31"/>
      <c r="E330" s="31"/>
    </row>
    <row r="331" spans="2:5" ht="12.75" customHeight="1" x14ac:dyDescent="0.35">
      <c r="B331" s="31"/>
      <c r="D331" s="31"/>
      <c r="E331" s="31"/>
    </row>
    <row r="332" spans="2:5" ht="12.75" customHeight="1" x14ac:dyDescent="0.35">
      <c r="B332" s="31"/>
      <c r="D332" s="31"/>
      <c r="E332" s="31"/>
    </row>
    <row r="333" spans="2:5" ht="12.75" customHeight="1" x14ac:dyDescent="0.35">
      <c r="B333" s="31"/>
      <c r="D333" s="31"/>
      <c r="E333" s="31"/>
    </row>
    <row r="334" spans="2:5" ht="12.75" customHeight="1" x14ac:dyDescent="0.35">
      <c r="B334" s="31"/>
      <c r="D334" s="31"/>
      <c r="E334" s="31"/>
    </row>
    <row r="335" spans="2:5" ht="12.75" customHeight="1" x14ac:dyDescent="0.35">
      <c r="B335" s="31"/>
      <c r="D335" s="31"/>
      <c r="E335" s="31"/>
    </row>
    <row r="336" spans="2:5" ht="12.75" customHeight="1" x14ac:dyDescent="0.35">
      <c r="B336" s="31"/>
      <c r="D336" s="31"/>
      <c r="E336" s="31"/>
    </row>
    <row r="337" spans="2:5" ht="12.75" customHeight="1" x14ac:dyDescent="0.35">
      <c r="B337" s="31"/>
      <c r="D337" s="31"/>
      <c r="E337" s="31"/>
    </row>
    <row r="338" spans="2:5" ht="12.75" customHeight="1" x14ac:dyDescent="0.35">
      <c r="B338" s="31"/>
      <c r="D338" s="31"/>
      <c r="E338" s="3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407"/>
  <sheetViews>
    <sheetView workbookViewId="0">
      <pane xSplit="2" ySplit="10" topLeftCell="C68" activePane="bottomRight" state="frozen"/>
      <selection pane="topRight" activeCell="C1" sqref="C1"/>
      <selection pane="bottomLeft" activeCell="A11" sqref="A11"/>
      <selection pane="bottomRight" sqref="A1:XFD1048576"/>
    </sheetView>
  </sheetViews>
  <sheetFormatPr defaultRowHeight="12.75" zeroHeight="1" x14ac:dyDescent="0.35"/>
  <cols>
    <col min="1" max="1" width="9.06640625" style="149"/>
    <col min="2" max="2" width="43.86328125" style="149" bestFit="1" customWidth="1"/>
    <col min="3" max="3" width="14.265625" style="149" customWidth="1"/>
    <col min="4" max="4" width="14.265625" style="151" customWidth="1"/>
    <col min="5" max="5" width="14.265625" style="149" customWidth="1"/>
    <col min="6" max="6" width="12.265625" style="151" bestFit="1" customWidth="1"/>
    <col min="7" max="7" width="12.265625" style="150" customWidth="1"/>
    <col min="8" max="8" width="11.73046875" style="149" bestFit="1" customWidth="1"/>
    <col min="9" max="9" width="12.265625" style="151" bestFit="1" customWidth="1"/>
    <col min="10" max="10" width="12.265625" style="152" bestFit="1" customWidth="1"/>
    <col min="11" max="14" width="12.265625" style="152" customWidth="1"/>
    <col min="15" max="15" width="12.265625" style="149" customWidth="1"/>
    <col min="16" max="16384" width="9.06640625" style="149"/>
  </cols>
  <sheetData>
    <row r="1" spans="1:15" ht="12.75" hidden="1" customHeight="1" x14ac:dyDescent="0.35">
      <c r="B1" s="147"/>
      <c r="C1" s="147"/>
      <c r="D1" s="147"/>
      <c r="E1" s="147"/>
      <c r="F1" s="147"/>
      <c r="G1" s="146"/>
      <c r="H1" s="147"/>
      <c r="I1" s="147"/>
      <c r="J1" s="148"/>
      <c r="K1" s="148"/>
      <c r="L1" s="148"/>
      <c r="M1" s="148"/>
      <c r="N1" s="148"/>
    </row>
    <row r="2" spans="1:15" ht="12.75" hidden="1" customHeight="1" x14ac:dyDescent="0.35">
      <c r="B2" s="147"/>
      <c r="C2" s="147"/>
      <c r="D2" s="147"/>
      <c r="E2" s="147"/>
      <c r="F2" s="147"/>
      <c r="G2" s="146"/>
      <c r="H2" s="147"/>
      <c r="I2" s="147"/>
      <c r="J2" s="148"/>
      <c r="K2" s="148"/>
      <c r="L2" s="148"/>
      <c r="M2" s="148"/>
      <c r="N2" s="148"/>
    </row>
    <row r="3" spans="1:15" ht="12.75" hidden="1" customHeight="1" x14ac:dyDescent="0.35">
      <c r="B3" s="147"/>
      <c r="C3" s="147"/>
      <c r="D3" s="147"/>
      <c r="E3" s="147"/>
      <c r="F3" s="147"/>
      <c r="G3" s="146"/>
      <c r="H3" s="147"/>
      <c r="I3" s="147"/>
      <c r="J3" s="148"/>
      <c r="K3" s="148"/>
      <c r="L3" s="148"/>
      <c r="M3" s="148"/>
      <c r="N3" s="148"/>
    </row>
    <row r="4" spans="1:15" ht="12.75" hidden="1" customHeight="1" x14ac:dyDescent="0.35">
      <c r="B4" s="147"/>
      <c r="C4" s="147"/>
      <c r="D4" s="147"/>
      <c r="E4" s="147"/>
      <c r="F4" s="147"/>
      <c r="G4" s="146"/>
      <c r="H4" s="147"/>
      <c r="I4" s="147"/>
      <c r="J4" s="148"/>
      <c r="K4" s="148"/>
      <c r="L4" s="148"/>
      <c r="M4" s="148"/>
      <c r="N4" s="148"/>
    </row>
    <row r="5" spans="1:15" ht="12.75" hidden="1" customHeight="1" x14ac:dyDescent="0.35">
      <c r="B5" s="147"/>
      <c r="C5" s="147"/>
      <c r="D5" s="147"/>
      <c r="E5" s="147"/>
      <c r="F5" s="147"/>
      <c r="G5" s="146"/>
      <c r="H5" s="147"/>
      <c r="I5" s="147"/>
      <c r="J5" s="148"/>
      <c r="K5" s="148"/>
      <c r="L5" s="148"/>
      <c r="M5" s="148"/>
      <c r="N5" s="148"/>
    </row>
    <row r="6" spans="1:15" ht="38.25" hidden="1" customHeight="1" x14ac:dyDescent="0.35">
      <c r="B6" s="147"/>
      <c r="C6" s="147"/>
      <c r="D6" s="147"/>
      <c r="E6" s="147"/>
      <c r="F6" s="147"/>
      <c r="G6" s="146"/>
      <c r="H6" s="147"/>
      <c r="I6" s="147"/>
      <c r="J6" s="148"/>
      <c r="K6" s="148"/>
      <c r="L6" s="148"/>
      <c r="M6" s="148"/>
      <c r="N6" s="148"/>
    </row>
    <row r="7" spans="1:15" ht="12.75" hidden="1" customHeight="1" x14ac:dyDescent="0.35"/>
    <row r="8" spans="1:15" ht="12.75" hidden="1" customHeight="1" x14ac:dyDescent="0.35">
      <c r="D8" s="240" t="s">
        <v>140</v>
      </c>
      <c r="F8" s="240" t="s">
        <v>140</v>
      </c>
      <c r="G8" s="153"/>
      <c r="J8" s="240" t="s">
        <v>140</v>
      </c>
    </row>
    <row r="9" spans="1:15" ht="12.75" hidden="1" customHeight="1" x14ac:dyDescent="0.35">
      <c r="B9" s="241"/>
      <c r="C9" s="161" t="s">
        <v>2</v>
      </c>
      <c r="D9" s="162" t="s">
        <v>1</v>
      </c>
      <c r="E9" s="161" t="s">
        <v>0</v>
      </c>
      <c r="F9" s="157">
        <v>43617</v>
      </c>
      <c r="G9" s="155"/>
      <c r="H9" s="156">
        <v>43983</v>
      </c>
      <c r="I9" s="157">
        <v>44348</v>
      </c>
      <c r="J9" s="158">
        <v>44713</v>
      </c>
      <c r="K9" s="158"/>
      <c r="L9" s="158"/>
      <c r="M9" s="158"/>
      <c r="N9" s="158"/>
      <c r="O9" s="242"/>
    </row>
    <row r="10" spans="1:15" ht="12.75" hidden="1" customHeight="1" x14ac:dyDescent="0.35">
      <c r="A10" s="149" t="s">
        <v>167</v>
      </c>
      <c r="F10" s="162" t="s">
        <v>131</v>
      </c>
      <c r="G10" s="160"/>
      <c r="H10" s="161" t="s">
        <v>131</v>
      </c>
      <c r="I10" s="162" t="s">
        <v>132</v>
      </c>
      <c r="J10" s="161" t="s">
        <v>132</v>
      </c>
      <c r="K10" s="161"/>
      <c r="L10" s="161"/>
      <c r="M10" s="161"/>
      <c r="N10" s="161"/>
      <c r="O10" s="161"/>
    </row>
    <row r="11" spans="1:15" ht="12.75" hidden="1" customHeight="1" x14ac:dyDescent="0.35">
      <c r="B11" s="243" t="s">
        <v>3</v>
      </c>
    </row>
    <row r="12" spans="1:15" ht="12.75" hidden="1" customHeight="1" x14ac:dyDescent="0.35"/>
    <row r="13" spans="1:15" ht="12.75" hidden="1" customHeight="1" x14ac:dyDescent="0.35">
      <c r="A13" s="244">
        <v>1</v>
      </c>
      <c r="B13" s="243" t="s">
        <v>4</v>
      </c>
    </row>
    <row r="14" spans="1:15" ht="12.75" hidden="1" customHeight="1" x14ac:dyDescent="0.35">
      <c r="B14" s="245" t="s">
        <v>5</v>
      </c>
      <c r="C14" s="179">
        <v>300.2</v>
      </c>
      <c r="D14" s="246">
        <v>0</v>
      </c>
      <c r="E14" s="179">
        <v>0</v>
      </c>
      <c r="F14" s="246"/>
      <c r="G14" s="172"/>
      <c r="H14" s="179"/>
      <c r="I14" s="246"/>
      <c r="J14" s="179"/>
      <c r="K14" s="179"/>
      <c r="L14" s="179"/>
      <c r="M14" s="179"/>
      <c r="N14" s="179"/>
      <c r="O14" s="247"/>
    </row>
    <row r="15" spans="1:15" ht="12.75" hidden="1" customHeight="1" x14ac:dyDescent="0.35">
      <c r="A15" s="244"/>
      <c r="B15" s="245" t="s">
        <v>6</v>
      </c>
      <c r="C15" s="179">
        <v>600.78</v>
      </c>
      <c r="D15" s="246">
        <v>1746.29</v>
      </c>
      <c r="E15" s="179">
        <v>1031.3499999999999</v>
      </c>
      <c r="F15" s="246">
        <v>1500</v>
      </c>
      <c r="G15" s="172"/>
      <c r="H15" s="179">
        <v>700</v>
      </c>
      <c r="I15" s="246">
        <v>700</v>
      </c>
      <c r="J15" s="179">
        <v>700</v>
      </c>
      <c r="K15" s="179"/>
      <c r="L15" s="179"/>
      <c r="M15" s="179"/>
      <c r="N15" s="179"/>
      <c r="O15" s="248"/>
    </row>
    <row r="16" spans="1:15" ht="12.75" hidden="1" customHeight="1" x14ac:dyDescent="0.35">
      <c r="A16" s="244"/>
      <c r="B16" s="245" t="s">
        <v>7</v>
      </c>
      <c r="C16" s="179">
        <v>6400.5</v>
      </c>
      <c r="D16" s="246">
        <v>0</v>
      </c>
      <c r="E16" s="179">
        <v>0</v>
      </c>
      <c r="F16" s="246"/>
      <c r="G16" s="172"/>
      <c r="H16" s="179"/>
      <c r="I16" s="246"/>
      <c r="J16" s="179"/>
      <c r="K16" s="179"/>
      <c r="L16" s="179"/>
      <c r="M16" s="179"/>
      <c r="N16" s="179"/>
      <c r="O16" s="247"/>
    </row>
    <row r="17" spans="1:15" ht="12.75" hidden="1" customHeight="1" x14ac:dyDescent="0.35">
      <c r="A17" s="244"/>
      <c r="B17" s="245" t="s">
        <v>8</v>
      </c>
      <c r="C17" s="179">
        <v>40674.11</v>
      </c>
      <c r="D17" s="246">
        <v>51895.6</v>
      </c>
      <c r="E17" s="179">
        <v>48127.17</v>
      </c>
      <c r="F17" s="246">
        <v>45000</v>
      </c>
      <c r="G17" s="172"/>
      <c r="H17" s="179">
        <v>45000</v>
      </c>
      <c r="I17" s="246">
        <v>36000</v>
      </c>
      <c r="J17" s="179">
        <v>36000</v>
      </c>
      <c r="K17" s="179" t="s">
        <v>210</v>
      </c>
      <c r="L17" s="179"/>
      <c r="M17" s="179"/>
      <c r="N17" s="179"/>
      <c r="O17" s="247"/>
    </row>
    <row r="18" spans="1:15" ht="12.75" hidden="1" customHeight="1" x14ac:dyDescent="0.35">
      <c r="A18" s="244"/>
      <c r="B18" s="245"/>
      <c r="C18" s="245"/>
    </row>
    <row r="19" spans="1:15" ht="12.75" hidden="1" customHeight="1" x14ac:dyDescent="0.35">
      <c r="A19" s="244"/>
      <c r="B19" s="249" t="s">
        <v>9</v>
      </c>
      <c r="C19" s="250">
        <v>47975.59</v>
      </c>
      <c r="D19" s="251">
        <v>53641.89</v>
      </c>
      <c r="E19" s="250">
        <v>49158.52</v>
      </c>
      <c r="F19" s="251">
        <v>46500</v>
      </c>
      <c r="G19" s="164"/>
      <c r="H19" s="179">
        <v>45700</v>
      </c>
      <c r="I19" s="251">
        <v>36700</v>
      </c>
      <c r="J19" s="250">
        <v>36700</v>
      </c>
      <c r="K19" s="179"/>
      <c r="L19" s="179"/>
      <c r="M19" s="179"/>
      <c r="N19" s="179"/>
      <c r="O19" s="243"/>
    </row>
    <row r="20" spans="1:15" ht="12.75" hidden="1" customHeight="1" x14ac:dyDescent="0.35">
      <c r="A20" s="244"/>
      <c r="H20" s="179">
        <v>33984</v>
      </c>
      <c r="I20" s="151">
        <v>27500</v>
      </c>
      <c r="J20" s="179">
        <v>27500</v>
      </c>
    </row>
    <row r="21" spans="1:15" ht="12.75" hidden="1" customHeight="1" x14ac:dyDescent="0.35">
      <c r="A21" s="244">
        <v>2</v>
      </c>
      <c r="B21" s="243" t="s">
        <v>10</v>
      </c>
    </row>
    <row r="22" spans="1:15" ht="12.75" hidden="1" customHeight="1" x14ac:dyDescent="0.35">
      <c r="A22" s="244"/>
    </row>
    <row r="23" spans="1:15" ht="12.75" hidden="1" customHeight="1" x14ac:dyDescent="0.35">
      <c r="A23" s="244"/>
      <c r="B23" s="243" t="s">
        <v>11</v>
      </c>
      <c r="K23" s="152" t="s">
        <v>184</v>
      </c>
    </row>
    <row r="24" spans="1:15" ht="12.75" hidden="1" customHeight="1" x14ac:dyDescent="0.35">
      <c r="A24" s="244"/>
      <c r="B24" s="245" t="s">
        <v>12</v>
      </c>
      <c r="C24" s="179">
        <v>92305.01</v>
      </c>
      <c r="D24" s="246">
        <v>135575.70000000001</v>
      </c>
      <c r="E24" s="179">
        <v>139584.59</v>
      </c>
      <c r="F24" s="246">
        <v>144776.85545454547</v>
      </c>
      <c r="G24" s="172"/>
      <c r="H24" s="179">
        <v>150071.25</v>
      </c>
      <c r="I24" s="246">
        <v>157574.8125</v>
      </c>
      <c r="J24" s="179">
        <v>165453.55312500001</v>
      </c>
      <c r="K24" s="179"/>
      <c r="L24" s="179"/>
      <c r="M24" s="179"/>
      <c r="N24" s="179"/>
      <c r="O24" s="247"/>
    </row>
    <row r="25" spans="1:15" ht="12.75" hidden="1" customHeight="1" x14ac:dyDescent="0.35">
      <c r="A25" s="244"/>
      <c r="B25" s="245" t="s">
        <v>13</v>
      </c>
      <c r="C25" s="179">
        <v>283.39999999999998</v>
      </c>
      <c r="D25" s="246">
        <v>1470.36</v>
      </c>
      <c r="E25" s="179">
        <v>2154.79</v>
      </c>
      <c r="F25" s="246">
        <v>1470.36</v>
      </c>
      <c r="G25" s="172"/>
      <c r="H25" s="179">
        <v>2772.0839999999998</v>
      </c>
      <c r="I25" s="246">
        <v>2910.6882000000001</v>
      </c>
      <c r="J25" s="179">
        <v>3056.2226100000003</v>
      </c>
      <c r="K25" s="179"/>
      <c r="L25" s="179"/>
      <c r="M25" s="179"/>
      <c r="N25" s="179"/>
      <c r="O25" s="247"/>
    </row>
    <row r="26" spans="1:15" ht="12.75" hidden="1" customHeight="1" x14ac:dyDescent="0.35">
      <c r="A26" s="244"/>
      <c r="B26" s="245" t="s">
        <v>14</v>
      </c>
      <c r="C26" s="179">
        <v>3055.48</v>
      </c>
      <c r="D26" s="246">
        <v>3331.86</v>
      </c>
      <c r="E26" s="179">
        <v>3566.38</v>
      </c>
      <c r="F26" s="246">
        <v>3845.6099999999997</v>
      </c>
      <c r="G26" s="172"/>
      <c r="H26" s="179">
        <v>4460.5890000000009</v>
      </c>
      <c r="I26" s="246">
        <v>4683.6184500000008</v>
      </c>
      <c r="J26" s="179">
        <v>4917.7993725000015</v>
      </c>
      <c r="K26" s="179"/>
      <c r="L26" s="179"/>
      <c r="M26" s="179"/>
      <c r="N26" s="179"/>
      <c r="O26" s="247"/>
    </row>
    <row r="27" spans="1:15" ht="12.75" hidden="1" customHeight="1" x14ac:dyDescent="0.35">
      <c r="A27" s="244"/>
      <c r="B27" s="245" t="s">
        <v>15</v>
      </c>
      <c r="C27" s="179">
        <v>0</v>
      </c>
      <c r="D27" s="246">
        <v>71.819999999999993</v>
      </c>
      <c r="E27" s="179">
        <v>146.83000000000001</v>
      </c>
      <c r="F27" s="246">
        <v>165</v>
      </c>
      <c r="G27" s="172"/>
      <c r="H27" s="179">
        <v>998.92799999999988</v>
      </c>
      <c r="I27" s="246">
        <v>1048.8743999999999</v>
      </c>
      <c r="J27" s="179">
        <v>1101.3181199999999</v>
      </c>
      <c r="K27" s="179"/>
      <c r="L27" s="179"/>
      <c r="M27" s="179"/>
      <c r="N27" s="179"/>
      <c r="O27" s="247"/>
    </row>
    <row r="28" spans="1:15" ht="12.75" hidden="1" customHeight="1" x14ac:dyDescent="0.35">
      <c r="A28" s="244"/>
      <c r="B28" s="245" t="s">
        <v>16</v>
      </c>
      <c r="C28" s="179">
        <v>18030.939999999999</v>
      </c>
      <c r="D28" s="246">
        <v>18988.36</v>
      </c>
      <c r="E28" s="179">
        <v>23386.799999999999</v>
      </c>
      <c r="F28" s="246">
        <v>24175.125</v>
      </c>
      <c r="G28" s="172"/>
      <c r="H28" s="179">
        <v>24883.572</v>
      </c>
      <c r="I28" s="246">
        <v>26127.750600000003</v>
      </c>
      <c r="J28" s="179">
        <v>27434.138130000003</v>
      </c>
      <c r="K28" s="179"/>
      <c r="L28" s="179"/>
      <c r="M28" s="179"/>
      <c r="N28" s="179"/>
      <c r="O28" s="247"/>
    </row>
    <row r="29" spans="1:15" ht="12.75" hidden="1" customHeight="1" x14ac:dyDescent="0.35">
      <c r="A29" s="244"/>
      <c r="B29" s="245" t="s">
        <v>17</v>
      </c>
      <c r="C29" s="179">
        <v>224.93</v>
      </c>
      <c r="D29" s="246">
        <v>906.55</v>
      </c>
      <c r="E29" s="179">
        <v>1539.43</v>
      </c>
      <c r="F29" s="246">
        <v>1568.8795454545455</v>
      </c>
      <c r="G29" s="172"/>
      <c r="H29" s="179">
        <v>2193.6285000000003</v>
      </c>
      <c r="I29" s="246">
        <v>2303.3099250000005</v>
      </c>
      <c r="J29" s="179">
        <v>2418.4754212500006</v>
      </c>
      <c r="K29" s="179"/>
      <c r="L29" s="179"/>
      <c r="M29" s="179"/>
      <c r="N29" s="179"/>
      <c r="O29" s="247"/>
    </row>
    <row r="30" spans="1:15" ht="12.75" hidden="1" customHeight="1" x14ac:dyDescent="0.35">
      <c r="A30" s="244"/>
      <c r="B30" s="245" t="s">
        <v>18</v>
      </c>
      <c r="C30" s="179">
        <v>-692.46</v>
      </c>
      <c r="D30" s="246">
        <v>-2290.44</v>
      </c>
      <c r="E30" s="179">
        <v>-3248.64</v>
      </c>
      <c r="F30" s="246">
        <v>-3316.8614399999997</v>
      </c>
      <c r="G30" s="172"/>
      <c r="H30" s="179">
        <v>-3387.384</v>
      </c>
      <c r="I30" s="246">
        <v>-3556.7532000000001</v>
      </c>
      <c r="J30" s="179">
        <v>-3734.5908600000002</v>
      </c>
      <c r="K30" s="179"/>
      <c r="L30" s="179"/>
      <c r="M30" s="179"/>
      <c r="N30" s="179"/>
      <c r="O30" s="247"/>
    </row>
    <row r="31" spans="1:15" ht="12.75" hidden="1" customHeight="1" x14ac:dyDescent="0.35">
      <c r="A31" s="244"/>
      <c r="C31" s="179"/>
      <c r="D31" s="246"/>
      <c r="E31" s="179">
        <v>167130.17999999996</v>
      </c>
      <c r="F31" s="179">
        <v>172684.96855999998</v>
      </c>
      <c r="G31" s="172"/>
      <c r="H31" s="179">
        <v>181992.66750000001</v>
      </c>
      <c r="I31" s="246">
        <v>191092.30087500002</v>
      </c>
      <c r="J31" s="179">
        <v>200646.91591875005</v>
      </c>
      <c r="K31" s="179"/>
      <c r="L31" s="179"/>
      <c r="M31" s="179"/>
      <c r="N31" s="179"/>
      <c r="O31" s="247"/>
    </row>
    <row r="32" spans="1:15" ht="12.75" hidden="1" customHeight="1" x14ac:dyDescent="0.35">
      <c r="A32" s="244">
        <v>2.1</v>
      </c>
      <c r="B32" s="243" t="s">
        <v>19</v>
      </c>
      <c r="C32" s="179"/>
      <c r="D32" s="246"/>
      <c r="E32" s="179"/>
      <c r="F32" s="246"/>
      <c r="G32" s="172"/>
      <c r="H32" s="179"/>
      <c r="I32" s="246"/>
      <c r="J32" s="179"/>
      <c r="K32" s="179"/>
      <c r="L32" s="179"/>
      <c r="M32" s="179"/>
      <c r="N32" s="179"/>
      <c r="O32" s="247"/>
    </row>
    <row r="33" spans="1:15" ht="12.75" hidden="1" customHeight="1" x14ac:dyDescent="0.35">
      <c r="A33" s="244"/>
      <c r="B33" s="245" t="s">
        <v>20</v>
      </c>
      <c r="C33" s="179">
        <v>-5863.86</v>
      </c>
      <c r="D33" s="246">
        <v>-13764.17</v>
      </c>
      <c r="E33" s="179">
        <v>-7206.01</v>
      </c>
      <c r="F33" s="246">
        <v>-7733.757115416136</v>
      </c>
      <c r="G33" s="172"/>
      <c r="H33" s="179">
        <v>-4366.6560000000009</v>
      </c>
      <c r="I33" s="246">
        <v>-4584.988800000001</v>
      </c>
      <c r="J33" s="179">
        <v>-4814.2382400000015</v>
      </c>
      <c r="K33" s="179"/>
      <c r="L33" s="179"/>
      <c r="M33" s="179"/>
      <c r="N33" s="179"/>
      <c r="O33" s="247"/>
    </row>
    <row r="34" spans="1:15" ht="12.75" hidden="1" customHeight="1" x14ac:dyDescent="0.35">
      <c r="A34" s="244"/>
      <c r="B34" s="245" t="s">
        <v>21</v>
      </c>
      <c r="C34" s="179">
        <v>220698.66</v>
      </c>
      <c r="D34" s="246">
        <v>213147.31</v>
      </c>
      <c r="E34" s="179">
        <v>208917.02</v>
      </c>
      <c r="F34" s="246">
        <v>224217.49205961899</v>
      </c>
      <c r="G34" s="172"/>
      <c r="H34" s="179">
        <v>0</v>
      </c>
      <c r="I34" s="246">
        <v>0</v>
      </c>
      <c r="J34" s="179">
        <v>0</v>
      </c>
      <c r="K34" s="179"/>
      <c r="L34" s="179"/>
      <c r="M34" s="179"/>
      <c r="N34" s="179"/>
      <c r="O34" s="247"/>
    </row>
    <row r="35" spans="1:15" ht="12.75" hidden="1" customHeight="1" x14ac:dyDescent="0.35">
      <c r="A35" s="244"/>
      <c r="B35" s="245" t="s">
        <v>22</v>
      </c>
      <c r="C35" s="179">
        <v>700</v>
      </c>
      <c r="D35" s="246">
        <v>2764.98</v>
      </c>
      <c r="E35" s="179">
        <v>1920.12</v>
      </c>
      <c r="F35" s="246">
        <v>2060.7439779368651</v>
      </c>
      <c r="G35" s="172"/>
      <c r="H35" s="179">
        <v>220511.69700000001</v>
      </c>
      <c r="I35" s="246">
        <v>231537.28185000003</v>
      </c>
      <c r="J35" s="179">
        <v>243114.14594250004</v>
      </c>
      <c r="K35" s="179"/>
      <c r="L35" s="179"/>
      <c r="M35" s="179"/>
      <c r="N35" s="179"/>
      <c r="O35" s="247"/>
    </row>
    <row r="36" spans="1:15" ht="12.75" hidden="1" customHeight="1" x14ac:dyDescent="0.35">
      <c r="A36" s="244"/>
      <c r="B36" s="245" t="s">
        <v>23</v>
      </c>
      <c r="C36" s="179">
        <v>7175.72</v>
      </c>
      <c r="D36" s="246">
        <v>6875.7</v>
      </c>
      <c r="E36" s="179">
        <v>7683.48</v>
      </c>
      <c r="F36" s="246">
        <v>8246.1956229810348</v>
      </c>
      <c r="G36" s="172"/>
      <c r="H36" s="179">
        <v>8741.9430000000011</v>
      </c>
      <c r="I36" s="246">
        <v>9179.0401500000007</v>
      </c>
      <c r="J36" s="179">
        <v>9637.9921575000008</v>
      </c>
      <c r="K36" s="179"/>
      <c r="L36" s="179"/>
      <c r="M36" s="179"/>
      <c r="N36" s="179"/>
      <c r="O36" s="247"/>
    </row>
    <row r="37" spans="1:15" ht="12.75" hidden="1" customHeight="1" x14ac:dyDescent="0.35">
      <c r="A37" s="244"/>
      <c r="B37" s="245" t="s">
        <v>24</v>
      </c>
      <c r="C37" s="179">
        <v>23058.73</v>
      </c>
      <c r="D37" s="246">
        <v>29613.75</v>
      </c>
      <c r="E37" s="179">
        <v>32048.54</v>
      </c>
      <c r="F37" s="246">
        <v>34395.68141921793</v>
      </c>
      <c r="G37" s="172"/>
      <c r="H37" s="179">
        <v>33965.841</v>
      </c>
      <c r="I37" s="246">
        <v>35664.133050000004</v>
      </c>
      <c r="J37" s="179">
        <v>37447.339702500009</v>
      </c>
      <c r="K37" s="179"/>
      <c r="L37" s="179"/>
      <c r="M37" s="179"/>
      <c r="N37" s="179"/>
      <c r="O37" s="247"/>
    </row>
    <row r="38" spans="1:15" ht="12.75" hidden="1" customHeight="1" x14ac:dyDescent="0.35">
      <c r="A38" s="244"/>
      <c r="B38" s="245" t="s">
        <v>25</v>
      </c>
      <c r="C38" s="179">
        <v>0</v>
      </c>
      <c r="D38" s="246">
        <v>-197.52</v>
      </c>
      <c r="E38" s="179">
        <v>-197.51</v>
      </c>
      <c r="F38" s="246">
        <v>-211.97505524775025</v>
      </c>
      <c r="G38" s="172"/>
      <c r="H38" s="179">
        <v>-222.57380801013778</v>
      </c>
      <c r="I38" s="246">
        <v>-233.70249841064469</v>
      </c>
      <c r="J38" s="179">
        <v>-245.38762333117694</v>
      </c>
      <c r="K38" s="179"/>
      <c r="L38" s="179"/>
      <c r="M38" s="179"/>
      <c r="N38" s="179"/>
      <c r="O38" s="247"/>
    </row>
    <row r="39" spans="1:15" ht="12.75" hidden="1" customHeight="1" x14ac:dyDescent="0.35">
      <c r="A39" s="244"/>
      <c r="B39" s="249" t="s">
        <v>26</v>
      </c>
      <c r="C39" s="250">
        <v>245769.25000000003</v>
      </c>
      <c r="D39" s="251">
        <v>238440.05000000002</v>
      </c>
      <c r="E39" s="250">
        <v>243165.63999999998</v>
      </c>
      <c r="F39" s="251">
        <v>260974.38090909092</v>
      </c>
      <c r="G39" s="164"/>
      <c r="H39" s="250">
        <v>274023.0999545455</v>
      </c>
      <c r="I39" s="251">
        <v>287724.25495227281</v>
      </c>
      <c r="J39" s="250">
        <v>302110.46769988647</v>
      </c>
      <c r="K39" s="179"/>
      <c r="L39" s="179"/>
      <c r="M39" s="179"/>
      <c r="N39" s="179"/>
      <c r="O39" s="252"/>
    </row>
    <row r="40" spans="1:15" ht="12.75" hidden="1" customHeight="1" x14ac:dyDescent="0.35">
      <c r="A40" s="244"/>
    </row>
    <row r="41" spans="1:15" ht="12.75" hidden="1" customHeight="1" thickBot="1" x14ac:dyDescent="0.4">
      <c r="A41" s="244"/>
      <c r="B41" s="253" t="s">
        <v>27</v>
      </c>
      <c r="C41" s="254">
        <v>358976.55</v>
      </c>
      <c r="D41" s="255">
        <v>396494.26</v>
      </c>
      <c r="E41" s="254">
        <v>410295.81999999995</v>
      </c>
      <c r="F41" s="255">
        <v>433659.34946909093</v>
      </c>
      <c r="G41" s="176"/>
      <c r="H41" s="254">
        <v>456015.76745454548</v>
      </c>
      <c r="I41" s="255">
        <v>478816.55582727282</v>
      </c>
      <c r="J41" s="254">
        <v>502757.38361863652</v>
      </c>
      <c r="K41" s="256"/>
      <c r="L41" s="256"/>
      <c r="M41" s="256"/>
      <c r="N41" s="256"/>
      <c r="O41" s="243"/>
    </row>
    <row r="42" spans="1:15" ht="12.75" hidden="1" customHeight="1" thickTop="1" x14ac:dyDescent="0.35">
      <c r="A42" s="244"/>
    </row>
    <row r="43" spans="1:15" ht="12.75" hidden="1" customHeight="1" x14ac:dyDescent="0.35">
      <c r="A43" s="244">
        <v>3</v>
      </c>
      <c r="B43" s="243" t="s">
        <v>28</v>
      </c>
      <c r="K43" s="152" t="s">
        <v>185</v>
      </c>
    </row>
    <row r="44" spans="1:15" ht="12.75" hidden="1" customHeight="1" x14ac:dyDescent="0.35">
      <c r="A44" s="244"/>
      <c r="B44" s="245" t="s">
        <v>29</v>
      </c>
      <c r="C44" s="179">
        <v>45858.32</v>
      </c>
      <c r="D44" s="246">
        <v>5</v>
      </c>
      <c r="E44" s="179">
        <v>0</v>
      </c>
      <c r="F44" s="246"/>
      <c r="G44" s="172"/>
      <c r="H44" s="179"/>
      <c r="I44" s="246"/>
      <c r="J44" s="179"/>
      <c r="K44" s="179"/>
      <c r="L44" s="179"/>
      <c r="M44" s="179"/>
      <c r="N44" s="179"/>
      <c r="O44" s="247"/>
    </row>
    <row r="45" spans="1:15" ht="12.75" hidden="1" customHeight="1" x14ac:dyDescent="0.35">
      <c r="A45" s="244"/>
      <c r="B45" s="245" t="s">
        <v>30</v>
      </c>
      <c r="C45" s="179">
        <v>0</v>
      </c>
      <c r="D45" s="246">
        <v>85408.72</v>
      </c>
      <c r="E45" s="179">
        <v>70217.95</v>
      </c>
      <c r="F45" s="246">
        <v>72380</v>
      </c>
      <c r="G45" s="172"/>
      <c r="H45" s="179">
        <v>72380</v>
      </c>
      <c r="I45" s="246">
        <v>75999</v>
      </c>
      <c r="J45" s="179">
        <v>75999</v>
      </c>
      <c r="K45" s="179"/>
      <c r="L45" s="179"/>
      <c r="M45" s="179"/>
      <c r="N45" s="179"/>
      <c r="O45" s="247"/>
    </row>
    <row r="46" spans="1:15" ht="12.75" hidden="1" customHeight="1" x14ac:dyDescent="0.35">
      <c r="A46" s="244"/>
      <c r="B46" s="245" t="s">
        <v>31</v>
      </c>
      <c r="C46" s="179">
        <v>0</v>
      </c>
      <c r="D46" s="246">
        <v>7801</v>
      </c>
      <c r="E46" s="179">
        <v>5146.5</v>
      </c>
      <c r="F46" s="246">
        <v>5687</v>
      </c>
      <c r="G46" s="172"/>
      <c r="H46" s="179">
        <v>5687</v>
      </c>
      <c r="I46" s="246">
        <v>5971.35</v>
      </c>
      <c r="J46" s="179">
        <v>5971.35</v>
      </c>
      <c r="K46" s="179"/>
      <c r="L46" s="179"/>
      <c r="M46" s="179"/>
      <c r="N46" s="179"/>
      <c r="O46" s="247"/>
    </row>
    <row r="47" spans="1:15" ht="12.75" hidden="1" customHeight="1" x14ac:dyDescent="0.35">
      <c r="A47" s="244"/>
      <c r="B47" s="245" t="s">
        <v>32</v>
      </c>
      <c r="C47" s="179">
        <v>0</v>
      </c>
      <c r="D47" s="246">
        <v>31476.13</v>
      </c>
      <c r="E47" s="179">
        <v>26235.200000000001</v>
      </c>
      <c r="F47" s="246">
        <v>25754</v>
      </c>
      <c r="G47" s="172"/>
      <c r="H47" s="179">
        <v>25754</v>
      </c>
      <c r="I47" s="246">
        <v>27041.7</v>
      </c>
      <c r="J47" s="179">
        <v>27041.7</v>
      </c>
      <c r="K47" s="179"/>
      <c r="L47" s="179"/>
      <c r="M47" s="179"/>
      <c r="N47" s="179"/>
      <c r="O47" s="247"/>
    </row>
    <row r="48" spans="1:15" ht="12.75" hidden="1" customHeight="1" x14ac:dyDescent="0.35">
      <c r="A48" s="244"/>
      <c r="B48" s="245" t="s">
        <v>33</v>
      </c>
      <c r="C48" s="179">
        <v>0</v>
      </c>
      <c r="D48" s="246">
        <v>1335.19</v>
      </c>
      <c r="E48" s="179">
        <v>1619.52</v>
      </c>
      <c r="F48" s="246">
        <v>1659</v>
      </c>
      <c r="G48" s="172"/>
      <c r="H48" s="179">
        <v>1659</v>
      </c>
      <c r="I48" s="246">
        <v>1741.95</v>
      </c>
      <c r="J48" s="179">
        <v>1741.95</v>
      </c>
      <c r="K48" s="179"/>
      <c r="L48" s="179"/>
      <c r="M48" s="179"/>
      <c r="N48" s="179"/>
      <c r="O48" s="247"/>
    </row>
    <row r="49" spans="1:15" ht="12.75" hidden="1" customHeight="1" x14ac:dyDescent="0.35">
      <c r="A49" s="244"/>
      <c r="B49" s="245" t="s">
        <v>34</v>
      </c>
      <c r="C49" s="179"/>
      <c r="D49" s="246"/>
      <c r="E49" s="179">
        <v>0</v>
      </c>
      <c r="F49" s="246"/>
      <c r="G49" s="172"/>
      <c r="H49" s="179"/>
      <c r="I49" s="246"/>
      <c r="J49" s="179"/>
      <c r="K49" s="179"/>
      <c r="L49" s="179"/>
      <c r="M49" s="179"/>
      <c r="N49" s="179"/>
      <c r="O49" s="247"/>
    </row>
    <row r="50" spans="1:15" ht="12.75" hidden="1" customHeight="1" x14ac:dyDescent="0.35">
      <c r="A50" s="244"/>
      <c r="B50" s="249" t="s">
        <v>35</v>
      </c>
      <c r="C50" s="257">
        <v>45858.32</v>
      </c>
      <c r="D50" s="258">
        <v>126026.04000000001</v>
      </c>
      <c r="E50" s="257">
        <v>103219.17</v>
      </c>
      <c r="F50" s="258">
        <v>105480</v>
      </c>
      <c r="G50" s="177"/>
      <c r="H50" s="257">
        <v>105480</v>
      </c>
      <c r="I50" s="258">
        <v>110754</v>
      </c>
      <c r="J50" s="257">
        <v>110754</v>
      </c>
      <c r="K50" s="252"/>
      <c r="L50" s="252"/>
      <c r="M50" s="252"/>
      <c r="N50" s="252"/>
      <c r="O50" s="252"/>
    </row>
    <row r="51" spans="1:15" ht="12.75" hidden="1" customHeight="1" x14ac:dyDescent="0.35">
      <c r="A51" s="244"/>
      <c r="C51" s="247"/>
      <c r="D51" s="259"/>
      <c r="E51" s="247"/>
      <c r="F51" s="259"/>
      <c r="G51" s="180"/>
      <c r="H51" s="247"/>
      <c r="I51" s="259"/>
      <c r="J51" s="260"/>
      <c r="K51" s="260"/>
      <c r="L51" s="260"/>
      <c r="M51" s="260"/>
      <c r="N51" s="260"/>
      <c r="O51" s="247"/>
    </row>
    <row r="52" spans="1:15" ht="12.75" hidden="1" customHeight="1" thickBot="1" x14ac:dyDescent="0.4">
      <c r="A52" s="244"/>
      <c r="B52" s="253" t="s">
        <v>36</v>
      </c>
      <c r="C52" s="261">
        <v>404834.87</v>
      </c>
      <c r="D52" s="262">
        <v>522520.30000000005</v>
      </c>
      <c r="E52" s="261">
        <v>513514.98999999993</v>
      </c>
      <c r="F52" s="262">
        <v>539139.34946909093</v>
      </c>
      <c r="G52" s="178"/>
      <c r="H52" s="261">
        <v>561495.76745454548</v>
      </c>
      <c r="I52" s="262">
        <v>589570.55582727282</v>
      </c>
      <c r="J52" s="261">
        <v>613511.38361863652</v>
      </c>
      <c r="K52" s="252"/>
      <c r="L52" s="252"/>
      <c r="M52" s="252"/>
      <c r="N52" s="252"/>
      <c r="O52" s="252"/>
    </row>
    <row r="53" spans="1:15" ht="12.75" hidden="1" customHeight="1" thickTop="1" x14ac:dyDescent="0.35">
      <c r="A53" s="244"/>
      <c r="E53" s="247">
        <v>270349.34999999998</v>
      </c>
    </row>
    <row r="54" spans="1:15" ht="12.75" hidden="1" customHeight="1" x14ac:dyDescent="0.35">
      <c r="A54" s="244">
        <v>4</v>
      </c>
      <c r="B54" s="243" t="s">
        <v>37</v>
      </c>
    </row>
    <row r="55" spans="1:15" ht="12.75" hidden="1" customHeight="1" x14ac:dyDescent="0.35">
      <c r="A55" s="244"/>
      <c r="B55" s="245" t="s">
        <v>38</v>
      </c>
      <c r="C55" s="179">
        <v>0</v>
      </c>
      <c r="D55" s="246">
        <v>0</v>
      </c>
      <c r="E55" s="179">
        <v>2818.06</v>
      </c>
      <c r="F55" s="246">
        <v>5950</v>
      </c>
      <c r="G55" s="172"/>
      <c r="H55" s="179">
        <v>6300</v>
      </c>
      <c r="I55" s="246">
        <v>7000</v>
      </c>
      <c r="J55" s="179">
        <v>7500</v>
      </c>
      <c r="K55" s="179" t="s">
        <v>186</v>
      </c>
      <c r="L55" s="179"/>
      <c r="M55" s="179"/>
      <c r="N55" s="179"/>
      <c r="O55" s="248"/>
    </row>
    <row r="56" spans="1:15" ht="12.75" hidden="1" customHeight="1" x14ac:dyDescent="0.35">
      <c r="A56" s="244"/>
      <c r="B56" s="245" t="s">
        <v>39</v>
      </c>
      <c r="C56" s="179">
        <v>0</v>
      </c>
      <c r="D56" s="246">
        <v>553</v>
      </c>
      <c r="E56" s="179">
        <v>17040.13</v>
      </c>
      <c r="F56" s="246">
        <v>0</v>
      </c>
      <c r="G56" s="172"/>
      <c r="H56" s="179"/>
      <c r="I56" s="246"/>
      <c r="J56" s="179"/>
      <c r="K56" s="179"/>
      <c r="L56" s="179"/>
      <c r="M56" s="179"/>
      <c r="N56" s="179"/>
      <c r="O56" s="247"/>
    </row>
    <row r="57" spans="1:15" ht="12.75" hidden="1" customHeight="1" x14ac:dyDescent="0.35">
      <c r="A57" s="244"/>
      <c r="B57" s="245" t="s">
        <v>40</v>
      </c>
      <c r="C57" s="179">
        <v>0</v>
      </c>
      <c r="D57" s="246">
        <v>0</v>
      </c>
      <c r="E57" s="179">
        <v>1</v>
      </c>
      <c r="F57" s="246"/>
      <c r="G57" s="172"/>
      <c r="H57" s="179"/>
      <c r="I57" s="246"/>
      <c r="J57" s="179"/>
      <c r="K57" s="179"/>
      <c r="L57" s="179"/>
      <c r="M57" s="179"/>
      <c r="N57" s="179"/>
      <c r="O57" s="247"/>
    </row>
    <row r="58" spans="1:15" ht="12.75" hidden="1" customHeight="1" x14ac:dyDescent="0.35">
      <c r="A58" s="244"/>
      <c r="B58" s="249" t="s">
        <v>41</v>
      </c>
      <c r="C58" s="257">
        <v>0</v>
      </c>
      <c r="D58" s="258">
        <v>553</v>
      </c>
      <c r="E58" s="257">
        <v>19859.190000000002</v>
      </c>
      <c r="F58" s="258">
        <v>5950</v>
      </c>
      <c r="G58" s="177"/>
      <c r="H58" s="257">
        <v>6300</v>
      </c>
      <c r="I58" s="258">
        <v>7000</v>
      </c>
      <c r="J58" s="257">
        <v>7500</v>
      </c>
      <c r="K58" s="252"/>
      <c r="L58" s="252"/>
      <c r="M58" s="252"/>
      <c r="N58" s="252"/>
      <c r="O58" s="252"/>
    </row>
    <row r="59" spans="1:15" ht="12.75" hidden="1" customHeight="1" x14ac:dyDescent="0.35">
      <c r="A59" s="244"/>
      <c r="C59" s="247"/>
      <c r="D59" s="259"/>
      <c r="E59" s="247"/>
      <c r="F59" s="259"/>
      <c r="G59" s="180"/>
      <c r="H59" s="247"/>
      <c r="I59" s="259"/>
      <c r="J59" s="260"/>
      <c r="K59" s="260"/>
      <c r="L59" s="260"/>
      <c r="M59" s="260"/>
      <c r="N59" s="260"/>
      <c r="O59" s="247"/>
    </row>
    <row r="60" spans="1:15" ht="12.75" hidden="1" customHeight="1" x14ac:dyDescent="0.35">
      <c r="A60" s="244">
        <v>5</v>
      </c>
      <c r="B60" s="243" t="s">
        <v>42</v>
      </c>
      <c r="C60" s="247"/>
      <c r="D60" s="259"/>
      <c r="E60" s="247"/>
      <c r="F60" s="259"/>
      <c r="G60" s="180"/>
      <c r="H60" s="247"/>
      <c r="I60" s="259"/>
      <c r="J60" s="260"/>
      <c r="K60" s="260"/>
      <c r="L60" s="260"/>
      <c r="M60" s="260"/>
      <c r="N60" s="260"/>
      <c r="O60" s="247"/>
    </row>
    <row r="61" spans="1:15" ht="12.75" hidden="1" customHeight="1" x14ac:dyDescent="0.35">
      <c r="A61" s="244">
        <v>5.0999999999999996</v>
      </c>
      <c r="B61" s="245" t="s">
        <v>43</v>
      </c>
      <c r="C61" s="179">
        <v>0</v>
      </c>
      <c r="D61" s="246">
        <v>0</v>
      </c>
      <c r="E61" s="179">
        <v>6000</v>
      </c>
      <c r="F61" s="246">
        <v>74155</v>
      </c>
      <c r="G61" s="172"/>
      <c r="H61" s="179"/>
      <c r="I61" s="246">
        <v>0</v>
      </c>
      <c r="J61" s="179">
        <v>0</v>
      </c>
      <c r="K61" s="179"/>
      <c r="L61" s="179"/>
      <c r="M61" s="179"/>
      <c r="N61" s="179"/>
      <c r="O61" s="248"/>
    </row>
    <row r="62" spans="1:15" ht="12.75" hidden="1" customHeight="1" x14ac:dyDescent="0.35">
      <c r="A62" s="244">
        <v>5.2</v>
      </c>
      <c r="B62" s="243" t="s">
        <v>44</v>
      </c>
      <c r="C62" s="247"/>
      <c r="D62" s="259"/>
      <c r="E62" s="247"/>
      <c r="F62" s="259"/>
      <c r="G62" s="180"/>
      <c r="H62" s="247"/>
      <c r="I62" s="259"/>
      <c r="J62" s="260"/>
      <c r="K62" s="260"/>
      <c r="L62" s="260"/>
      <c r="M62" s="260"/>
      <c r="N62" s="260"/>
      <c r="O62" s="247"/>
    </row>
    <row r="63" spans="1:15" ht="12.75" hidden="1" customHeight="1" x14ac:dyDescent="0.35">
      <c r="A63" s="244"/>
      <c r="B63" s="245" t="s">
        <v>45</v>
      </c>
      <c r="C63" s="179">
        <v>17103.43</v>
      </c>
      <c r="D63" s="246">
        <v>0</v>
      </c>
      <c r="E63" s="179">
        <v>24376</v>
      </c>
      <c r="F63" s="246">
        <v>36000</v>
      </c>
      <c r="G63" s="172"/>
      <c r="H63" s="179">
        <v>34000</v>
      </c>
      <c r="I63" s="246">
        <v>35000</v>
      </c>
      <c r="J63" s="179">
        <v>36000</v>
      </c>
      <c r="K63" s="179" t="s">
        <v>187</v>
      </c>
      <c r="L63" s="179"/>
      <c r="M63" s="179"/>
      <c r="N63" s="179"/>
      <c r="O63" s="247"/>
    </row>
    <row r="64" spans="1:15" ht="12.75" hidden="1" customHeight="1" x14ac:dyDescent="0.35">
      <c r="A64" s="244"/>
      <c r="B64" s="249" t="s">
        <v>46</v>
      </c>
      <c r="C64" s="257">
        <v>17103.43</v>
      </c>
      <c r="D64" s="258">
        <v>0</v>
      </c>
      <c r="E64" s="257">
        <v>24376</v>
      </c>
      <c r="F64" s="258">
        <v>36000</v>
      </c>
      <c r="G64" s="177"/>
      <c r="H64" s="257">
        <v>34000</v>
      </c>
      <c r="I64" s="258">
        <v>35000</v>
      </c>
      <c r="J64" s="257">
        <v>36000</v>
      </c>
      <c r="K64" s="252"/>
      <c r="L64" s="252"/>
      <c r="M64" s="252"/>
      <c r="N64" s="252"/>
      <c r="O64" s="252"/>
    </row>
    <row r="65" spans="1:15" ht="12.75" hidden="1" customHeight="1" x14ac:dyDescent="0.35">
      <c r="A65" s="244"/>
      <c r="C65" s="247"/>
      <c r="D65" s="259"/>
      <c r="E65" s="247"/>
      <c r="F65" s="259"/>
      <c r="G65" s="180"/>
      <c r="H65" s="247"/>
      <c r="I65" s="259"/>
      <c r="J65" s="260"/>
      <c r="K65" s="260"/>
      <c r="L65" s="260"/>
      <c r="M65" s="260"/>
      <c r="N65" s="260"/>
      <c r="O65" s="247"/>
    </row>
    <row r="66" spans="1:15" ht="12.75" hidden="1" customHeight="1" x14ac:dyDescent="0.35">
      <c r="A66" s="244">
        <v>5.3</v>
      </c>
      <c r="B66" s="243" t="s">
        <v>47</v>
      </c>
      <c r="C66" s="247"/>
      <c r="D66" s="259"/>
      <c r="E66" s="247"/>
      <c r="F66" s="259"/>
      <c r="G66" s="180"/>
      <c r="H66" s="247"/>
      <c r="I66" s="259"/>
      <c r="J66" s="260"/>
      <c r="K66" s="260"/>
      <c r="L66" s="260"/>
      <c r="M66" s="260"/>
      <c r="N66" s="260"/>
      <c r="O66" s="247"/>
    </row>
    <row r="67" spans="1:15" ht="12.75" hidden="1" customHeight="1" x14ac:dyDescent="0.35">
      <c r="A67" s="244"/>
      <c r="B67" s="245" t="s">
        <v>48</v>
      </c>
      <c r="C67" s="179">
        <v>6881.83</v>
      </c>
      <c r="D67" s="246">
        <v>0</v>
      </c>
      <c r="E67" s="179">
        <v>37416.71</v>
      </c>
      <c r="F67" s="246">
        <v>0</v>
      </c>
      <c r="G67" s="172"/>
      <c r="H67" s="179">
        <v>37416.71</v>
      </c>
      <c r="I67" s="246">
        <v>0</v>
      </c>
      <c r="J67" s="179">
        <v>38000</v>
      </c>
      <c r="K67" s="179" t="s">
        <v>188</v>
      </c>
      <c r="L67" s="179"/>
      <c r="M67" s="179"/>
      <c r="N67" s="179"/>
      <c r="O67" s="248"/>
    </row>
    <row r="68" spans="1:15" ht="12.75" hidden="1" customHeight="1" x14ac:dyDescent="0.35">
      <c r="A68" s="244"/>
      <c r="B68" s="245" t="s">
        <v>49</v>
      </c>
      <c r="C68" s="179">
        <v>34221.82</v>
      </c>
      <c r="D68" s="246">
        <v>895.45</v>
      </c>
      <c r="E68" s="179">
        <v>55811.74</v>
      </c>
      <c r="F68" s="246">
        <v>0</v>
      </c>
      <c r="G68" s="172"/>
      <c r="H68" s="179">
        <v>60000</v>
      </c>
      <c r="I68" s="246">
        <v>0</v>
      </c>
      <c r="J68" s="179">
        <v>65000</v>
      </c>
      <c r="K68" s="179" t="s">
        <v>189</v>
      </c>
      <c r="L68" s="179"/>
      <c r="M68" s="179"/>
      <c r="N68" s="179"/>
      <c r="O68" s="248"/>
    </row>
    <row r="69" spans="1:15" ht="12.75" hidden="1" customHeight="1" x14ac:dyDescent="0.35">
      <c r="A69" s="244"/>
      <c r="B69" s="249" t="s">
        <v>50</v>
      </c>
      <c r="C69" s="257">
        <v>41103.65</v>
      </c>
      <c r="D69" s="258">
        <v>895.45</v>
      </c>
      <c r="E69" s="257">
        <v>93228.45</v>
      </c>
      <c r="F69" s="258">
        <v>0</v>
      </c>
      <c r="G69" s="177"/>
      <c r="H69" s="257">
        <v>97416.709999999992</v>
      </c>
      <c r="I69" s="258">
        <v>0</v>
      </c>
      <c r="J69" s="257">
        <v>103000</v>
      </c>
      <c r="K69" s="252"/>
      <c r="L69" s="252"/>
      <c r="M69" s="252"/>
      <c r="N69" s="252"/>
      <c r="O69" s="252"/>
    </row>
    <row r="70" spans="1:15" ht="12.75" hidden="1" customHeight="1" x14ac:dyDescent="0.35">
      <c r="A70" s="244"/>
      <c r="C70" s="247"/>
      <c r="D70" s="259"/>
      <c r="E70" s="247"/>
      <c r="F70" s="259"/>
      <c r="G70" s="180"/>
      <c r="H70" s="247"/>
      <c r="I70" s="259"/>
      <c r="J70" s="260"/>
      <c r="K70" s="260"/>
      <c r="L70" s="260"/>
      <c r="M70" s="260"/>
      <c r="N70" s="260"/>
      <c r="O70" s="247"/>
    </row>
    <row r="71" spans="1:15" ht="12.75" hidden="1" customHeight="1" x14ac:dyDescent="0.35">
      <c r="A71" s="244">
        <v>5.4</v>
      </c>
      <c r="B71" s="243" t="s">
        <v>51</v>
      </c>
      <c r="C71" s="247"/>
      <c r="D71" s="259"/>
      <c r="E71" s="247"/>
      <c r="F71" s="259"/>
      <c r="G71" s="180"/>
      <c r="H71" s="247"/>
      <c r="I71" s="259"/>
      <c r="J71" s="260"/>
      <c r="K71" s="260"/>
      <c r="L71" s="260"/>
      <c r="M71" s="260"/>
      <c r="N71" s="260"/>
      <c r="O71" s="247"/>
    </row>
    <row r="72" spans="1:15" ht="12.75" hidden="1" customHeight="1" x14ac:dyDescent="0.35">
      <c r="A72" s="244"/>
      <c r="B72" s="245" t="s">
        <v>52</v>
      </c>
      <c r="C72" s="179">
        <v>0</v>
      </c>
      <c r="D72" s="246">
        <v>6480</v>
      </c>
      <c r="E72" s="179">
        <v>0</v>
      </c>
      <c r="F72" s="246">
        <v>8554</v>
      </c>
      <c r="G72" s="172"/>
      <c r="H72" s="179">
        <v>0</v>
      </c>
      <c r="I72" s="246"/>
      <c r="J72" s="246">
        <v>9500</v>
      </c>
      <c r="K72" s="179" t="s">
        <v>211</v>
      </c>
      <c r="L72" s="179"/>
      <c r="M72" s="179"/>
      <c r="N72" s="179"/>
      <c r="O72" s="247"/>
    </row>
    <row r="73" spans="1:15" ht="12.75" hidden="1" customHeight="1" x14ac:dyDescent="0.35">
      <c r="A73" s="244"/>
      <c r="B73" s="245" t="s">
        <v>53</v>
      </c>
      <c r="C73" s="179">
        <v>0</v>
      </c>
      <c r="D73" s="246">
        <v>71084</v>
      </c>
      <c r="E73" s="179">
        <v>-1750</v>
      </c>
      <c r="F73" s="246">
        <v>112677</v>
      </c>
      <c r="G73" s="172"/>
      <c r="H73" s="179">
        <v>0</v>
      </c>
      <c r="I73" s="246"/>
      <c r="J73" s="246">
        <v>118310.85</v>
      </c>
      <c r="K73" s="179" t="s">
        <v>212</v>
      </c>
      <c r="L73" s="179"/>
      <c r="M73" s="179"/>
      <c r="N73" s="179"/>
      <c r="O73" s="247"/>
    </row>
    <row r="74" spans="1:15" ht="12.75" hidden="1" customHeight="1" x14ac:dyDescent="0.35">
      <c r="A74" s="244"/>
      <c r="B74" s="249" t="s">
        <v>54</v>
      </c>
      <c r="C74" s="257">
        <v>0</v>
      </c>
      <c r="D74" s="258">
        <v>77564</v>
      </c>
      <c r="E74" s="257">
        <v>-1750</v>
      </c>
      <c r="F74" s="258">
        <v>121231</v>
      </c>
      <c r="G74" s="177"/>
      <c r="H74" s="257">
        <v>0</v>
      </c>
      <c r="I74" s="258"/>
      <c r="J74" s="258">
        <v>127810.85</v>
      </c>
      <c r="K74" s="252"/>
      <c r="L74" s="252"/>
      <c r="M74" s="252"/>
      <c r="N74" s="252"/>
      <c r="O74" s="252"/>
    </row>
    <row r="75" spans="1:15" ht="12.75" hidden="1" customHeight="1" x14ac:dyDescent="0.35">
      <c r="A75" s="244"/>
      <c r="C75" s="247"/>
      <c r="D75" s="259"/>
      <c r="E75" s="247"/>
      <c r="F75" s="259"/>
      <c r="G75" s="180"/>
      <c r="H75" s="247"/>
      <c r="I75" s="259"/>
      <c r="J75" s="260"/>
      <c r="K75" s="260"/>
      <c r="L75" s="260"/>
      <c r="M75" s="260"/>
      <c r="N75" s="260"/>
      <c r="O75" s="247"/>
    </row>
    <row r="76" spans="1:15" ht="12.75" hidden="1" customHeight="1" x14ac:dyDescent="0.35">
      <c r="A76" s="244">
        <v>5.5</v>
      </c>
      <c r="B76" s="243" t="s">
        <v>55</v>
      </c>
      <c r="C76" s="247"/>
      <c r="D76" s="259"/>
      <c r="E76" s="247"/>
      <c r="F76" s="259"/>
      <c r="G76" s="180"/>
      <c r="H76" s="247"/>
      <c r="I76" s="259"/>
      <c r="J76" s="260"/>
      <c r="K76" s="260"/>
      <c r="L76" s="260"/>
      <c r="M76" s="260"/>
      <c r="N76" s="260"/>
      <c r="O76" s="247"/>
    </row>
    <row r="77" spans="1:15" ht="12.75" hidden="1" customHeight="1" x14ac:dyDescent="0.35">
      <c r="A77" s="244"/>
      <c r="B77" s="245" t="s">
        <v>56</v>
      </c>
      <c r="C77" s="179">
        <v>0</v>
      </c>
      <c r="D77" s="246">
        <v>106264.3</v>
      </c>
      <c r="E77" s="179">
        <v>0</v>
      </c>
      <c r="F77" s="246">
        <v>148964</v>
      </c>
      <c r="G77" s="172"/>
      <c r="H77" s="179">
        <v>0</v>
      </c>
      <c r="I77" s="246">
        <v>118320</v>
      </c>
      <c r="J77" s="246">
        <v>0</v>
      </c>
      <c r="K77" s="179" t="s">
        <v>216</v>
      </c>
      <c r="L77" s="179"/>
      <c r="M77" s="179"/>
      <c r="N77" s="179"/>
      <c r="O77" s="247"/>
    </row>
    <row r="78" spans="1:15" ht="12.75" hidden="1" customHeight="1" x14ac:dyDescent="0.35">
      <c r="A78" s="244"/>
      <c r="B78" s="245" t="s">
        <v>57</v>
      </c>
      <c r="C78" s="179">
        <v>0</v>
      </c>
      <c r="D78" s="246">
        <v>80259.28</v>
      </c>
      <c r="E78" s="179">
        <v>0</v>
      </c>
      <c r="F78" s="246">
        <v>73000</v>
      </c>
      <c r="G78" s="172"/>
      <c r="H78" s="179">
        <v>0</v>
      </c>
      <c r="I78" s="246">
        <v>83640</v>
      </c>
      <c r="J78" s="246">
        <v>0</v>
      </c>
      <c r="K78" s="179" t="s">
        <v>217</v>
      </c>
      <c r="L78" s="179"/>
      <c r="M78" s="179"/>
      <c r="N78" s="179"/>
      <c r="O78" s="247"/>
    </row>
    <row r="79" spans="1:15" ht="12.75" hidden="1" customHeight="1" x14ac:dyDescent="0.35">
      <c r="A79" s="244"/>
      <c r="B79" s="249" t="s">
        <v>58</v>
      </c>
      <c r="C79" s="257">
        <v>0</v>
      </c>
      <c r="D79" s="258">
        <v>186523.58000000002</v>
      </c>
      <c r="E79" s="257">
        <v>0</v>
      </c>
      <c r="F79" s="258">
        <v>221964</v>
      </c>
      <c r="G79" s="177"/>
      <c r="H79" s="257">
        <v>0</v>
      </c>
      <c r="I79" s="258">
        <v>201960</v>
      </c>
      <c r="J79" s="257">
        <v>0</v>
      </c>
      <c r="K79" s="252"/>
      <c r="L79" s="252"/>
      <c r="M79" s="252"/>
      <c r="N79" s="252"/>
      <c r="O79" s="252"/>
    </row>
    <row r="80" spans="1:15" ht="12.75" hidden="1" customHeight="1" x14ac:dyDescent="0.35">
      <c r="A80" s="244"/>
      <c r="C80" s="247"/>
      <c r="D80" s="259"/>
      <c r="E80" s="247"/>
      <c r="F80" s="259"/>
      <c r="G80" s="180"/>
      <c r="H80" s="247"/>
      <c r="I80" s="259"/>
      <c r="J80" s="260"/>
      <c r="K80" s="260"/>
      <c r="L80" s="260"/>
      <c r="M80" s="260"/>
      <c r="N80" s="260"/>
      <c r="O80" s="247"/>
    </row>
    <row r="81" spans="1:15" ht="12.75" hidden="1" customHeight="1" x14ac:dyDescent="0.35">
      <c r="A81" s="244">
        <v>5.6</v>
      </c>
      <c r="B81" s="243" t="s">
        <v>59</v>
      </c>
      <c r="C81" s="179"/>
      <c r="D81" s="246"/>
      <c r="E81" s="179"/>
      <c r="F81" s="246"/>
      <c r="G81" s="172"/>
      <c r="H81" s="179"/>
      <c r="I81" s="246"/>
      <c r="J81" s="179"/>
      <c r="K81" s="179"/>
      <c r="L81" s="179"/>
      <c r="M81" s="179"/>
      <c r="N81" s="179"/>
      <c r="O81" s="247"/>
    </row>
    <row r="82" spans="1:15" ht="12.75" hidden="1" customHeight="1" x14ac:dyDescent="0.35">
      <c r="A82" s="244"/>
      <c r="B82" s="245" t="s">
        <v>205</v>
      </c>
      <c r="C82" s="179">
        <v>0</v>
      </c>
      <c r="D82" s="246">
        <v>0</v>
      </c>
      <c r="E82" s="179">
        <v>15145.37</v>
      </c>
      <c r="F82" s="246">
        <v>5729</v>
      </c>
      <c r="G82" s="172"/>
      <c r="H82" s="179">
        <v>135000</v>
      </c>
      <c r="I82" s="246"/>
      <c r="J82" s="179">
        <v>5000</v>
      </c>
      <c r="K82" s="179" t="s">
        <v>190</v>
      </c>
      <c r="L82" s="179"/>
      <c r="M82" s="179"/>
      <c r="N82" s="179"/>
      <c r="O82" s="248"/>
    </row>
    <row r="83" spans="1:15" ht="12.75" hidden="1" customHeight="1" x14ac:dyDescent="0.35">
      <c r="A83" s="244"/>
      <c r="B83" s="245" t="s">
        <v>60</v>
      </c>
      <c r="C83" s="179">
        <v>45.45</v>
      </c>
      <c r="D83" s="246">
        <v>9168.18</v>
      </c>
      <c r="E83" s="179">
        <v>2449</v>
      </c>
      <c r="F83" s="246"/>
      <c r="G83" s="172"/>
      <c r="H83" s="179"/>
      <c r="I83" s="246"/>
      <c r="J83" s="179"/>
      <c r="K83" s="179"/>
      <c r="L83" s="179"/>
      <c r="M83" s="179"/>
      <c r="N83" s="179"/>
      <c r="O83" s="247"/>
    </row>
    <row r="84" spans="1:15" ht="12.75" hidden="1" customHeight="1" x14ac:dyDescent="0.35">
      <c r="A84" s="244"/>
      <c r="B84" s="249" t="s">
        <v>61</v>
      </c>
      <c r="C84" s="257">
        <v>45.45</v>
      </c>
      <c r="D84" s="258">
        <v>9168.18</v>
      </c>
      <c r="E84" s="257">
        <v>17594.370000000003</v>
      </c>
      <c r="F84" s="258">
        <v>5729</v>
      </c>
      <c r="G84" s="177"/>
      <c r="H84" s="257">
        <v>135000</v>
      </c>
      <c r="I84" s="258">
        <v>0</v>
      </c>
      <c r="J84" s="257">
        <v>5000</v>
      </c>
      <c r="K84" s="252"/>
      <c r="L84" s="252"/>
      <c r="M84" s="252"/>
      <c r="N84" s="252"/>
      <c r="O84" s="252"/>
    </row>
    <row r="85" spans="1:15" ht="12.75" hidden="1" customHeight="1" x14ac:dyDescent="0.35">
      <c r="A85" s="244"/>
      <c r="C85" s="247"/>
      <c r="D85" s="259"/>
      <c r="E85" s="247"/>
      <c r="F85" s="259"/>
      <c r="G85" s="180"/>
      <c r="H85" s="247"/>
      <c r="I85" s="259"/>
      <c r="J85" s="260"/>
      <c r="K85" s="260"/>
      <c r="L85" s="260"/>
      <c r="M85" s="260"/>
      <c r="N85" s="260"/>
      <c r="O85" s="247"/>
    </row>
    <row r="86" spans="1:15" ht="12.75" hidden="1" customHeight="1" thickBot="1" x14ac:dyDescent="0.4">
      <c r="A86" s="244"/>
      <c r="B86" s="253" t="s">
        <v>62</v>
      </c>
      <c r="C86" s="261">
        <v>58252.53</v>
      </c>
      <c r="D86" s="262">
        <v>274151.21000000002</v>
      </c>
      <c r="E86" s="261">
        <v>139448.82</v>
      </c>
      <c r="F86" s="262">
        <v>459079</v>
      </c>
      <c r="G86" s="178"/>
      <c r="H86" s="261">
        <v>266416.70999999996</v>
      </c>
      <c r="I86" s="262">
        <v>364770.85</v>
      </c>
      <c r="J86" s="261">
        <v>144000</v>
      </c>
      <c r="K86" s="252"/>
      <c r="L86" s="252"/>
      <c r="M86" s="252"/>
      <c r="N86" s="252"/>
      <c r="O86" s="252"/>
    </row>
    <row r="87" spans="1:15" ht="12.75" hidden="1" customHeight="1" thickTop="1" x14ac:dyDescent="0.35">
      <c r="A87" s="244"/>
      <c r="C87" s="247"/>
      <c r="D87" s="259"/>
      <c r="E87" s="247"/>
      <c r="F87" s="259"/>
      <c r="G87" s="180"/>
      <c r="H87" s="247"/>
      <c r="I87" s="259"/>
      <c r="J87" s="260"/>
      <c r="K87" s="260"/>
      <c r="L87" s="260"/>
      <c r="M87" s="260"/>
      <c r="N87" s="260"/>
      <c r="O87" s="247"/>
    </row>
    <row r="88" spans="1:15" ht="12.75" hidden="1" customHeight="1" thickBot="1" x14ac:dyDescent="0.4">
      <c r="A88" s="244"/>
      <c r="B88" s="253" t="s">
        <v>63</v>
      </c>
      <c r="C88" s="261">
        <v>511062.99</v>
      </c>
      <c r="D88" s="262">
        <v>850866.40000000014</v>
      </c>
      <c r="E88" s="261">
        <v>721981.52</v>
      </c>
      <c r="F88" s="262">
        <v>1050668.3494690908</v>
      </c>
      <c r="G88" s="178"/>
      <c r="H88" s="261">
        <v>879912.47745454544</v>
      </c>
      <c r="I88" s="262">
        <v>998041.4058272728</v>
      </c>
      <c r="J88" s="261">
        <v>801711.38361863652</v>
      </c>
      <c r="K88" s="252"/>
      <c r="L88" s="252"/>
      <c r="M88" s="252"/>
      <c r="N88" s="252"/>
      <c r="O88" s="252"/>
    </row>
    <row r="89" spans="1:15" ht="12.75" hidden="1" customHeight="1" thickTop="1" x14ac:dyDescent="0.35">
      <c r="A89" s="244"/>
      <c r="C89" s="247"/>
      <c r="D89" s="259"/>
      <c r="E89" s="247"/>
      <c r="F89" s="259"/>
      <c r="G89" s="180"/>
      <c r="H89" s="247"/>
      <c r="I89" s="259"/>
      <c r="J89" s="260"/>
      <c r="K89" s="260"/>
      <c r="L89" s="260"/>
      <c r="M89" s="260"/>
      <c r="N89" s="260"/>
      <c r="O89" s="247"/>
    </row>
    <row r="90" spans="1:15" ht="12.75" hidden="1" customHeight="1" thickBot="1" x14ac:dyDescent="0.4">
      <c r="A90" s="244"/>
      <c r="B90" s="253" t="s">
        <v>64</v>
      </c>
      <c r="C90" s="263">
        <v>511062.99</v>
      </c>
      <c r="D90" s="264">
        <v>850866.40000000014</v>
      </c>
      <c r="E90" s="263">
        <v>721981.52</v>
      </c>
      <c r="F90" s="262">
        <v>1050668.3494690908</v>
      </c>
      <c r="G90" s="178"/>
      <c r="H90" s="262">
        <v>879912.47745454544</v>
      </c>
      <c r="I90" s="262">
        <v>998041.4058272728</v>
      </c>
      <c r="J90" s="261">
        <v>801711.38361863652</v>
      </c>
      <c r="K90" s="252"/>
      <c r="L90" s="252"/>
      <c r="M90" s="252"/>
      <c r="N90" s="252"/>
      <c r="O90" s="252"/>
    </row>
    <row r="91" spans="1:15" ht="12.75" hidden="1" customHeight="1" thickTop="1" x14ac:dyDescent="0.35">
      <c r="A91" s="244"/>
    </row>
    <row r="92" spans="1:15" ht="12.75" hidden="1" customHeight="1" x14ac:dyDescent="0.35">
      <c r="A92" s="244"/>
      <c r="B92" s="243" t="s">
        <v>65</v>
      </c>
    </row>
    <row r="93" spans="1:15" ht="12.75" hidden="1" customHeight="1" x14ac:dyDescent="0.35">
      <c r="A93" s="244"/>
    </row>
    <row r="94" spans="1:15" ht="12.75" hidden="1" customHeight="1" x14ac:dyDescent="0.35">
      <c r="A94" s="244">
        <v>6</v>
      </c>
      <c r="B94" s="243" t="s">
        <v>66</v>
      </c>
    </row>
    <row r="95" spans="1:15" ht="12.75" hidden="1" customHeight="1" x14ac:dyDescent="0.35">
      <c r="A95" s="244">
        <v>6.1</v>
      </c>
      <c r="B95" s="245" t="s">
        <v>67</v>
      </c>
      <c r="C95" s="179">
        <v>0</v>
      </c>
      <c r="D95" s="246">
        <v>0</v>
      </c>
      <c r="E95" s="179">
        <v>14859.82</v>
      </c>
      <c r="F95" s="246">
        <v>18200</v>
      </c>
      <c r="G95" s="172"/>
      <c r="H95" s="179">
        <v>21000</v>
      </c>
      <c r="I95" s="246">
        <v>21420</v>
      </c>
      <c r="J95" s="179">
        <v>21848.400000000001</v>
      </c>
      <c r="K95" s="179" t="s">
        <v>191</v>
      </c>
      <c r="L95" s="179"/>
      <c r="M95" s="179"/>
      <c r="N95" s="179"/>
      <c r="O95" s="245"/>
    </row>
    <row r="96" spans="1:15" ht="12.75" hidden="1" customHeight="1" x14ac:dyDescent="0.35">
      <c r="A96" s="244">
        <v>6.2</v>
      </c>
      <c r="B96" s="245" t="s">
        <v>68</v>
      </c>
      <c r="C96" s="179">
        <v>31788.2</v>
      </c>
      <c r="D96" s="246">
        <v>53513</v>
      </c>
      <c r="E96" s="179">
        <v>50666.52</v>
      </c>
      <c r="F96" s="246">
        <v>35000</v>
      </c>
      <c r="G96" s="172"/>
      <c r="H96" s="179">
        <v>35700</v>
      </c>
      <c r="I96" s="246">
        <v>36414</v>
      </c>
      <c r="J96" s="179">
        <v>37142.28</v>
      </c>
      <c r="K96" s="179" t="s">
        <v>192</v>
      </c>
      <c r="L96" s="179"/>
      <c r="M96" s="179"/>
      <c r="N96" s="179"/>
      <c r="O96" s="245"/>
    </row>
    <row r="97" spans="1:15" ht="12.75" hidden="1" customHeight="1" x14ac:dyDescent="0.35">
      <c r="A97" s="244"/>
      <c r="I97" s="246"/>
    </row>
    <row r="98" spans="1:15" ht="12.75" hidden="1" customHeight="1" x14ac:dyDescent="0.35">
      <c r="A98" s="244">
        <v>7</v>
      </c>
      <c r="B98" s="243" t="s">
        <v>69</v>
      </c>
    </row>
    <row r="99" spans="1:15" ht="12.75" hidden="1" customHeight="1" x14ac:dyDescent="0.35">
      <c r="A99" s="244"/>
      <c r="B99" s="245" t="s">
        <v>70</v>
      </c>
      <c r="C99" s="245">
        <v>10781.65</v>
      </c>
      <c r="D99" s="265">
        <v>28145.72</v>
      </c>
      <c r="E99" s="245">
        <v>7276.29</v>
      </c>
      <c r="F99" s="265">
        <v>15000</v>
      </c>
      <c r="G99" s="266"/>
      <c r="H99" s="179">
        <v>10000</v>
      </c>
      <c r="I99" s="246">
        <v>8000</v>
      </c>
      <c r="J99" s="245">
        <v>10000</v>
      </c>
      <c r="K99" s="245" t="s">
        <v>193</v>
      </c>
      <c r="L99" s="245"/>
      <c r="M99" s="245"/>
      <c r="N99" s="245"/>
      <c r="O99" s="245"/>
    </row>
    <row r="100" spans="1:15" ht="12.75" hidden="1" customHeight="1" x14ac:dyDescent="0.35">
      <c r="A100" s="244"/>
      <c r="B100" s="249" t="s">
        <v>71</v>
      </c>
      <c r="C100" s="267">
        <v>10781.65</v>
      </c>
      <c r="D100" s="268">
        <v>28145.72</v>
      </c>
      <c r="E100" s="267">
        <v>7276.29</v>
      </c>
      <c r="F100" s="268">
        <v>15000</v>
      </c>
      <c r="G100" s="185"/>
      <c r="H100" s="267">
        <v>10000</v>
      </c>
      <c r="I100" s="268">
        <v>8000</v>
      </c>
      <c r="J100" s="267">
        <v>10000</v>
      </c>
      <c r="K100" s="243"/>
      <c r="L100" s="243"/>
      <c r="M100" s="243"/>
      <c r="N100" s="243"/>
      <c r="O100" s="243"/>
    </row>
    <row r="101" spans="1:15" ht="12.75" hidden="1" customHeight="1" x14ac:dyDescent="0.35">
      <c r="A101" s="244"/>
    </row>
    <row r="102" spans="1:15" ht="12.75" hidden="1" customHeight="1" thickBot="1" x14ac:dyDescent="0.4">
      <c r="A102" s="244"/>
      <c r="B102" s="253" t="s">
        <v>72</v>
      </c>
      <c r="C102" s="263">
        <v>42569.85</v>
      </c>
      <c r="D102" s="264">
        <v>81658.720000000001</v>
      </c>
      <c r="E102" s="263">
        <v>72802.62999999999</v>
      </c>
      <c r="F102" s="264">
        <v>68200</v>
      </c>
      <c r="G102" s="269"/>
      <c r="H102" s="263">
        <v>66700</v>
      </c>
      <c r="I102" s="264">
        <v>65834</v>
      </c>
      <c r="J102" s="263">
        <v>68990.679999999993</v>
      </c>
      <c r="K102" s="243"/>
      <c r="L102" s="243"/>
      <c r="M102" s="243"/>
      <c r="N102" s="243"/>
      <c r="O102" s="243"/>
    </row>
    <row r="103" spans="1:15" ht="12.75" hidden="1" customHeight="1" thickTop="1" x14ac:dyDescent="0.35">
      <c r="A103" s="244"/>
    </row>
    <row r="104" spans="1:15" ht="12.75" hidden="1" customHeight="1" x14ac:dyDescent="0.35">
      <c r="A104" s="244">
        <v>8</v>
      </c>
      <c r="B104" s="243" t="s">
        <v>73</v>
      </c>
      <c r="K104" s="243"/>
      <c r="L104" s="243"/>
      <c r="M104" s="243"/>
      <c r="N104" s="243"/>
    </row>
    <row r="105" spans="1:15" ht="12.75" hidden="1" customHeight="1" x14ac:dyDescent="0.35">
      <c r="A105" s="244"/>
      <c r="B105" s="245" t="s">
        <v>74</v>
      </c>
      <c r="C105" s="179">
        <v>11116.76</v>
      </c>
      <c r="D105" s="246">
        <v>13133.59</v>
      </c>
      <c r="E105" s="179">
        <v>10183.49</v>
      </c>
      <c r="F105" s="246">
        <v>10600</v>
      </c>
      <c r="G105" s="172"/>
      <c r="H105" s="179">
        <v>10500</v>
      </c>
      <c r="I105" s="246">
        <v>11025</v>
      </c>
      <c r="J105" s="179">
        <v>11576.25</v>
      </c>
      <c r="K105" s="243"/>
      <c r="L105" s="243"/>
      <c r="M105" s="243"/>
      <c r="N105" s="243"/>
      <c r="O105" s="245"/>
    </row>
    <row r="106" spans="1:15" ht="12.75" hidden="1" customHeight="1" x14ac:dyDescent="0.35">
      <c r="A106" s="244"/>
      <c r="B106" s="245" t="s">
        <v>75</v>
      </c>
      <c r="C106" s="179">
        <v>384</v>
      </c>
      <c r="D106" s="246">
        <v>342</v>
      </c>
      <c r="E106" s="179">
        <v>47</v>
      </c>
      <c r="F106" s="246">
        <v>342</v>
      </c>
      <c r="G106" s="172"/>
      <c r="H106" s="179">
        <v>950</v>
      </c>
      <c r="I106" s="246">
        <v>969</v>
      </c>
      <c r="J106" s="246">
        <v>988.38</v>
      </c>
      <c r="K106" s="243" t="s">
        <v>194</v>
      </c>
      <c r="L106" s="243"/>
      <c r="M106" s="243"/>
      <c r="N106" s="243"/>
      <c r="O106" s="245"/>
    </row>
    <row r="107" spans="1:15" ht="12.75" hidden="1" customHeight="1" x14ac:dyDescent="0.35">
      <c r="A107" s="244"/>
      <c r="B107" s="245" t="s">
        <v>76</v>
      </c>
      <c r="C107" s="179">
        <v>7454.24</v>
      </c>
      <c r="D107" s="246">
        <v>4785.18</v>
      </c>
      <c r="E107" s="179">
        <v>4138.21</v>
      </c>
      <c r="F107" s="246">
        <v>4700</v>
      </c>
      <c r="G107" s="172"/>
      <c r="H107" s="179">
        <v>7000</v>
      </c>
      <c r="I107" s="246">
        <v>7350</v>
      </c>
      <c r="J107" s="179">
        <v>7717.5</v>
      </c>
      <c r="K107" s="243" t="s">
        <v>195</v>
      </c>
      <c r="L107" s="243"/>
      <c r="M107" s="243"/>
      <c r="N107" s="243"/>
      <c r="O107" s="245"/>
    </row>
    <row r="108" spans="1:15" ht="12.75" hidden="1" customHeight="1" x14ac:dyDescent="0.35">
      <c r="A108" s="244"/>
      <c r="B108" s="245" t="s">
        <v>77</v>
      </c>
      <c r="C108" s="179">
        <v>145.12</v>
      </c>
      <c r="D108" s="246">
        <v>0</v>
      </c>
      <c r="E108" s="179">
        <v>0</v>
      </c>
      <c r="F108" s="246">
        <v>0</v>
      </c>
      <c r="G108" s="172"/>
      <c r="H108" s="179">
        <v>0</v>
      </c>
      <c r="I108" s="246">
        <v>0</v>
      </c>
      <c r="J108" s="179">
        <v>0</v>
      </c>
      <c r="K108" s="243"/>
      <c r="L108" s="243"/>
      <c r="M108" s="243"/>
      <c r="N108" s="243"/>
      <c r="O108" s="245"/>
    </row>
    <row r="109" spans="1:15" ht="12.75" hidden="1" customHeight="1" x14ac:dyDescent="0.35">
      <c r="A109" s="244"/>
      <c r="B109" s="245" t="s">
        <v>78</v>
      </c>
      <c r="C109" s="179">
        <v>4816.58</v>
      </c>
      <c r="D109" s="246">
        <v>4783.4399999999996</v>
      </c>
      <c r="E109" s="179">
        <v>4073.95</v>
      </c>
      <c r="F109" s="246">
        <v>4200</v>
      </c>
      <c r="G109" s="172"/>
      <c r="H109" s="179">
        <v>5500</v>
      </c>
      <c r="I109" s="246">
        <v>5775</v>
      </c>
      <c r="J109" s="179">
        <v>6063.75</v>
      </c>
      <c r="K109" s="243" t="s">
        <v>196</v>
      </c>
      <c r="L109" s="243"/>
      <c r="M109" s="243"/>
      <c r="N109" s="243"/>
      <c r="O109" s="245"/>
    </row>
    <row r="110" spans="1:15" ht="12.75" hidden="1" customHeight="1" x14ac:dyDescent="0.35">
      <c r="A110" s="244"/>
      <c r="B110" s="245" t="s">
        <v>79</v>
      </c>
      <c r="C110" s="179">
        <v>0.05</v>
      </c>
      <c r="D110" s="246">
        <v>0</v>
      </c>
      <c r="E110" s="179">
        <v>0</v>
      </c>
      <c r="F110" s="246">
        <v>0</v>
      </c>
      <c r="G110" s="172"/>
      <c r="H110" s="179">
        <v>0</v>
      </c>
      <c r="I110" s="246">
        <v>0</v>
      </c>
      <c r="J110" s="179">
        <v>0</v>
      </c>
      <c r="K110" s="243"/>
      <c r="L110" s="243"/>
      <c r="M110" s="243"/>
      <c r="N110" s="243"/>
      <c r="O110" s="245"/>
    </row>
    <row r="111" spans="1:15" ht="12.75" hidden="1" customHeight="1" x14ac:dyDescent="0.35">
      <c r="A111" s="244"/>
      <c r="B111" s="245" t="s">
        <v>80</v>
      </c>
      <c r="C111" s="179">
        <v>17090.11</v>
      </c>
      <c r="D111" s="246">
        <v>7066.4</v>
      </c>
      <c r="E111" s="179">
        <v>4620.67</v>
      </c>
      <c r="F111" s="270"/>
      <c r="G111" s="271"/>
      <c r="H111" s="179">
        <v>4441.5658000000003</v>
      </c>
      <c r="I111" s="246">
        <v>4352.7344840000005</v>
      </c>
      <c r="J111" s="246">
        <v>4265.6797943200008</v>
      </c>
      <c r="K111" s="243" t="s">
        <v>197</v>
      </c>
      <c r="L111" s="243"/>
      <c r="M111" s="243"/>
      <c r="N111" s="243"/>
      <c r="O111" s="245"/>
    </row>
    <row r="112" spans="1:15" ht="12.75" hidden="1" customHeight="1" x14ac:dyDescent="0.35">
      <c r="A112" s="244"/>
      <c r="B112" s="245" t="s">
        <v>81</v>
      </c>
      <c r="C112" s="179">
        <v>0.05</v>
      </c>
      <c r="D112" s="246">
        <v>0</v>
      </c>
      <c r="E112" s="179">
        <v>0</v>
      </c>
      <c r="F112" s="246">
        <v>0</v>
      </c>
      <c r="G112" s="172"/>
      <c r="H112" s="179">
        <v>0</v>
      </c>
      <c r="I112" s="246">
        <v>0</v>
      </c>
      <c r="J112" s="179">
        <v>0</v>
      </c>
      <c r="K112" s="243"/>
      <c r="L112" s="243"/>
      <c r="M112" s="243"/>
      <c r="N112" s="243"/>
      <c r="O112" s="245"/>
    </row>
    <row r="113" spans="1:15" ht="12.75" hidden="1" customHeight="1" x14ac:dyDescent="0.35">
      <c r="A113" s="244"/>
      <c r="B113" s="245" t="s">
        <v>82</v>
      </c>
      <c r="C113" s="179">
        <v>6348.78</v>
      </c>
      <c r="D113" s="246">
        <v>6943.97</v>
      </c>
      <c r="E113" s="179">
        <v>6224.36</v>
      </c>
      <c r="F113" s="246">
        <v>6500</v>
      </c>
      <c r="G113" s="172"/>
      <c r="H113" s="179">
        <v>7000</v>
      </c>
      <c r="I113" s="246">
        <v>7350</v>
      </c>
      <c r="J113" s="179">
        <v>7717.5</v>
      </c>
      <c r="K113" s="243" t="s">
        <v>198</v>
      </c>
      <c r="L113" s="243"/>
      <c r="M113" s="243"/>
      <c r="N113" s="243"/>
      <c r="O113" s="272"/>
    </row>
    <row r="114" spans="1:15" ht="12.75" hidden="1" customHeight="1" x14ac:dyDescent="0.35">
      <c r="A114" s="244"/>
      <c r="B114" s="245" t="s">
        <v>83</v>
      </c>
      <c r="C114" s="179">
        <v>313.44</v>
      </c>
      <c r="D114" s="246">
        <v>0</v>
      </c>
      <c r="E114" s="179">
        <v>0</v>
      </c>
      <c r="F114" s="246">
        <v>0</v>
      </c>
      <c r="G114" s="172"/>
      <c r="H114" s="179">
        <v>0</v>
      </c>
      <c r="I114" s="246">
        <v>0</v>
      </c>
      <c r="J114" s="179">
        <v>0</v>
      </c>
      <c r="K114" s="243"/>
      <c r="L114" s="243"/>
      <c r="M114" s="243"/>
      <c r="N114" s="243"/>
      <c r="O114" s="245"/>
    </row>
    <row r="115" spans="1:15" ht="12.75" hidden="1" customHeight="1" x14ac:dyDescent="0.35">
      <c r="A115" s="244"/>
      <c r="B115" s="249" t="s">
        <v>84</v>
      </c>
      <c r="C115" s="267">
        <v>47669.130000000005</v>
      </c>
      <c r="D115" s="268">
        <v>37054.58</v>
      </c>
      <c r="E115" s="267">
        <v>29287.68</v>
      </c>
      <c r="F115" s="268">
        <v>26342</v>
      </c>
      <c r="G115" s="185"/>
      <c r="H115" s="267">
        <v>35391.565799999997</v>
      </c>
      <c r="I115" s="268">
        <v>36821.734484000001</v>
      </c>
      <c r="J115" s="267">
        <v>38329.059794319997</v>
      </c>
      <c r="K115" s="243"/>
      <c r="L115" s="243"/>
      <c r="M115" s="243"/>
      <c r="N115" s="243"/>
      <c r="O115" s="243"/>
    </row>
    <row r="116" spans="1:15" ht="12.75" hidden="1" customHeight="1" x14ac:dyDescent="0.35">
      <c r="A116" s="244"/>
      <c r="K116" s="243"/>
      <c r="L116" s="243"/>
      <c r="M116" s="243"/>
      <c r="N116" s="243"/>
    </row>
    <row r="117" spans="1:15" ht="12.75" hidden="1" customHeight="1" x14ac:dyDescent="0.35">
      <c r="A117" s="244">
        <v>9</v>
      </c>
      <c r="B117" s="243" t="s">
        <v>85</v>
      </c>
      <c r="K117" s="243"/>
      <c r="L117" s="243"/>
      <c r="M117" s="243"/>
      <c r="N117" s="243"/>
    </row>
    <row r="118" spans="1:15" ht="12.75" hidden="1" customHeight="1" x14ac:dyDescent="0.35">
      <c r="A118" s="244"/>
      <c r="B118" s="245" t="s">
        <v>86</v>
      </c>
      <c r="C118" s="179">
        <v>1366.47</v>
      </c>
      <c r="D118" s="246">
        <v>0</v>
      </c>
      <c r="E118" s="179">
        <v>0</v>
      </c>
      <c r="F118" s="246">
        <v>0</v>
      </c>
      <c r="G118" s="172"/>
      <c r="H118" s="179">
        <v>500</v>
      </c>
      <c r="I118" s="246">
        <v>500</v>
      </c>
      <c r="J118" s="179">
        <v>500</v>
      </c>
      <c r="K118" s="243"/>
      <c r="L118" s="243"/>
      <c r="M118" s="243"/>
      <c r="N118" s="243"/>
      <c r="O118" s="245"/>
    </row>
    <row r="119" spans="1:15" ht="12.75" hidden="1" customHeight="1" x14ac:dyDescent="0.35">
      <c r="A119" s="244"/>
      <c r="B119" s="245" t="s">
        <v>87</v>
      </c>
      <c r="C119" s="179">
        <v>11231.65</v>
      </c>
      <c r="D119" s="246">
        <v>-12158.54</v>
      </c>
      <c r="E119" s="179">
        <v>4891.72</v>
      </c>
      <c r="F119" s="246">
        <v>10468</v>
      </c>
      <c r="G119" s="172"/>
      <c r="H119" s="179">
        <v>15000</v>
      </c>
      <c r="I119" s="246">
        <v>15450</v>
      </c>
      <c r="J119" s="179">
        <v>15759</v>
      </c>
      <c r="K119" s="243" t="s">
        <v>199</v>
      </c>
      <c r="L119" s="243"/>
      <c r="M119" s="243"/>
      <c r="N119" s="243"/>
      <c r="O119" s="245"/>
    </row>
    <row r="120" spans="1:15" ht="12.75" hidden="1" customHeight="1" x14ac:dyDescent="0.35">
      <c r="A120" s="244"/>
      <c r="B120" s="245" t="s">
        <v>88</v>
      </c>
      <c r="C120" s="179">
        <v>840.91</v>
      </c>
      <c r="D120" s="246">
        <v>893.18</v>
      </c>
      <c r="E120" s="179">
        <v>1088.6400000000001</v>
      </c>
      <c r="F120" s="246">
        <v>1000</v>
      </c>
      <c r="G120" s="172"/>
      <c r="H120" s="179">
        <v>1000</v>
      </c>
      <c r="I120" s="246">
        <v>1050</v>
      </c>
      <c r="J120" s="179">
        <v>1102.5</v>
      </c>
      <c r="K120" s="243"/>
      <c r="L120" s="243"/>
      <c r="M120" s="243"/>
      <c r="N120" s="243"/>
      <c r="O120" s="245"/>
    </row>
    <row r="121" spans="1:15" ht="12.75" hidden="1" customHeight="1" x14ac:dyDescent="0.35">
      <c r="A121" s="244"/>
      <c r="B121" s="245" t="s">
        <v>89</v>
      </c>
      <c r="C121" s="179">
        <v>6991.41</v>
      </c>
      <c r="D121" s="246">
        <v>11398.72</v>
      </c>
      <c r="E121" s="179">
        <v>2081.1</v>
      </c>
      <c r="F121" s="246">
        <v>2200</v>
      </c>
      <c r="G121" s="172"/>
      <c r="H121" s="179">
        <v>3500</v>
      </c>
      <c r="I121" s="246">
        <v>3605</v>
      </c>
      <c r="J121" s="179">
        <v>3677.1</v>
      </c>
      <c r="K121" s="243"/>
      <c r="L121" s="243"/>
      <c r="M121" s="243"/>
      <c r="N121" s="243"/>
    </row>
    <row r="122" spans="1:15" ht="12.75" hidden="1" customHeight="1" x14ac:dyDescent="0.35">
      <c r="A122" s="244"/>
      <c r="B122" s="245" t="s">
        <v>90</v>
      </c>
      <c r="C122" s="179">
        <v>20113.990000000002</v>
      </c>
      <c r="D122" s="246">
        <v>19921.03</v>
      </c>
      <c r="E122" s="179">
        <v>20483.939999999999</v>
      </c>
      <c r="F122" s="246">
        <v>21000</v>
      </c>
      <c r="G122" s="172"/>
      <c r="H122" s="179">
        <v>22050</v>
      </c>
      <c r="I122" s="246">
        <v>23152.5</v>
      </c>
      <c r="J122" s="179">
        <v>24310.125</v>
      </c>
      <c r="K122" s="243"/>
      <c r="L122" s="243"/>
      <c r="M122" s="243"/>
      <c r="N122" s="243"/>
    </row>
    <row r="123" spans="1:15" ht="12.75" hidden="1" customHeight="1" x14ac:dyDescent="0.35">
      <c r="A123" s="244"/>
      <c r="B123" s="245" t="s">
        <v>91</v>
      </c>
      <c r="C123" s="179">
        <v>119.09</v>
      </c>
      <c r="D123" s="246">
        <v>0</v>
      </c>
      <c r="E123" s="179">
        <v>0</v>
      </c>
      <c r="F123" s="246">
        <v>0</v>
      </c>
      <c r="G123" s="172"/>
      <c r="H123" s="179">
        <v>0</v>
      </c>
      <c r="I123" s="246">
        <v>0</v>
      </c>
      <c r="J123" s="179">
        <v>0</v>
      </c>
      <c r="K123" s="243"/>
      <c r="L123" s="243"/>
      <c r="M123" s="243"/>
      <c r="N123" s="243"/>
      <c r="O123" s="273"/>
    </row>
    <row r="124" spans="1:15" ht="12.75" hidden="1" customHeight="1" x14ac:dyDescent="0.35">
      <c r="A124" s="244"/>
      <c r="B124" s="245" t="s">
        <v>92</v>
      </c>
      <c r="C124" s="179">
        <v>359.82</v>
      </c>
      <c r="D124" s="246">
        <v>7.64</v>
      </c>
      <c r="E124" s="179">
        <v>0</v>
      </c>
      <c r="F124" s="246">
        <v>0</v>
      </c>
      <c r="G124" s="172"/>
      <c r="H124" s="179">
        <v>0</v>
      </c>
      <c r="I124" s="246">
        <v>0</v>
      </c>
      <c r="J124" s="179">
        <v>0</v>
      </c>
      <c r="K124" s="243"/>
      <c r="L124" s="243"/>
      <c r="M124" s="243"/>
      <c r="N124" s="243"/>
      <c r="O124" s="273"/>
    </row>
    <row r="125" spans="1:15" ht="12.75" hidden="1" customHeight="1" x14ac:dyDescent="0.35">
      <c r="A125" s="244"/>
      <c r="B125" s="245" t="s">
        <v>93</v>
      </c>
      <c r="C125" s="179">
        <v>2078.09</v>
      </c>
      <c r="D125" s="246">
        <v>2256.59</v>
      </c>
      <c r="E125" s="179">
        <v>779.92</v>
      </c>
      <c r="F125" s="246">
        <v>800</v>
      </c>
      <c r="G125" s="172"/>
      <c r="H125" s="179">
        <v>1000</v>
      </c>
      <c r="I125" s="246">
        <v>1100</v>
      </c>
      <c r="J125" s="179">
        <v>1100</v>
      </c>
      <c r="K125" s="243"/>
      <c r="L125" s="243"/>
      <c r="M125" s="243"/>
      <c r="N125" s="243"/>
      <c r="O125" s="245"/>
    </row>
    <row r="126" spans="1:15" ht="12.75" hidden="1" customHeight="1" x14ac:dyDescent="0.35">
      <c r="A126" s="244"/>
      <c r="B126" s="245" t="s">
        <v>94</v>
      </c>
      <c r="C126" s="179">
        <v>22528.48</v>
      </c>
      <c r="D126" s="246">
        <v>21066.71</v>
      </c>
      <c r="E126" s="179">
        <v>18566.25</v>
      </c>
      <c r="F126" s="246">
        <v>18600</v>
      </c>
      <c r="G126" s="172"/>
      <c r="H126" s="179">
        <v>18972</v>
      </c>
      <c r="I126" s="246">
        <v>19351.439999999999</v>
      </c>
      <c r="J126" s="179">
        <v>19738.468799999999</v>
      </c>
      <c r="K126" s="243"/>
      <c r="L126" s="243"/>
      <c r="M126" s="243"/>
      <c r="N126" s="243"/>
      <c r="O126" s="273"/>
    </row>
    <row r="127" spans="1:15" ht="12.75" hidden="1" customHeight="1" x14ac:dyDescent="0.35">
      <c r="A127" s="244"/>
      <c r="B127" s="245" t="s">
        <v>95</v>
      </c>
      <c r="C127" s="179">
        <v>1745.73</v>
      </c>
      <c r="D127" s="246">
        <v>2005.38</v>
      </c>
      <c r="E127" s="179">
        <v>1414.5</v>
      </c>
      <c r="F127" s="246">
        <v>1500</v>
      </c>
      <c r="G127" s="172"/>
      <c r="H127" s="179">
        <v>1530</v>
      </c>
      <c r="I127" s="246">
        <v>1560.6000000000001</v>
      </c>
      <c r="J127" s="179">
        <v>1591.8120000000001</v>
      </c>
      <c r="K127" s="243"/>
      <c r="L127" s="243"/>
      <c r="M127" s="243"/>
      <c r="N127" s="243"/>
      <c r="O127" s="272"/>
    </row>
    <row r="128" spans="1:15" ht="12.75" hidden="1" customHeight="1" x14ac:dyDescent="0.35">
      <c r="A128" s="244"/>
      <c r="B128" s="245" t="s">
        <v>96</v>
      </c>
      <c r="C128" s="179">
        <v>237726.96</v>
      </c>
      <c r="D128" s="246">
        <v>245999.26</v>
      </c>
      <c r="E128" s="179">
        <v>245497.76</v>
      </c>
      <c r="F128" s="246">
        <v>245000</v>
      </c>
      <c r="G128" s="172"/>
      <c r="H128" s="179">
        <v>230000</v>
      </c>
      <c r="I128" s="246">
        <v>236900</v>
      </c>
      <c r="J128" s="179">
        <v>244007</v>
      </c>
      <c r="K128" s="243" t="s">
        <v>200</v>
      </c>
      <c r="L128" s="243"/>
      <c r="M128" s="243"/>
      <c r="N128" s="243"/>
      <c r="O128" s="273"/>
    </row>
    <row r="129" spans="1:15" ht="12.75" hidden="1" customHeight="1" x14ac:dyDescent="0.35">
      <c r="A129" s="244"/>
      <c r="B129" s="249" t="s">
        <v>97</v>
      </c>
      <c r="C129" s="267">
        <v>305102.59999999998</v>
      </c>
      <c r="D129" s="268">
        <v>291389.97000000003</v>
      </c>
      <c r="E129" s="185">
        <v>294803.83</v>
      </c>
      <c r="F129" s="268">
        <v>300568</v>
      </c>
      <c r="G129" s="185"/>
      <c r="H129" s="185">
        <v>293552</v>
      </c>
      <c r="I129" s="268">
        <v>302669.54000000004</v>
      </c>
      <c r="J129" s="267">
        <v>311786.00579999998</v>
      </c>
      <c r="K129" s="243"/>
      <c r="L129" s="243"/>
      <c r="M129" s="243"/>
      <c r="N129" s="243"/>
      <c r="O129" s="243"/>
    </row>
    <row r="130" spans="1:15" ht="12.75" hidden="1" customHeight="1" x14ac:dyDescent="0.35">
      <c r="A130" s="244"/>
      <c r="K130" s="243"/>
      <c r="L130" s="243"/>
      <c r="M130" s="243"/>
      <c r="N130" s="243"/>
    </row>
    <row r="131" spans="1:15" ht="12.75" hidden="1" customHeight="1" x14ac:dyDescent="0.35">
      <c r="A131" s="244">
        <v>10</v>
      </c>
      <c r="B131" s="243" t="s">
        <v>98</v>
      </c>
      <c r="K131" s="243" t="s">
        <v>201</v>
      </c>
      <c r="L131" s="243"/>
      <c r="M131" s="243"/>
      <c r="N131" s="243"/>
    </row>
    <row r="132" spans="1:15" ht="12.75" hidden="1" customHeight="1" x14ac:dyDescent="0.35">
      <c r="A132" s="244"/>
      <c r="B132" s="245" t="s">
        <v>99</v>
      </c>
      <c r="C132" s="179">
        <v>0</v>
      </c>
      <c r="D132" s="246">
        <v>84103.2</v>
      </c>
      <c r="E132" s="179">
        <v>58109.07</v>
      </c>
      <c r="F132" s="246">
        <v>65142</v>
      </c>
      <c r="G132" s="172"/>
      <c r="H132" s="179">
        <v>65142</v>
      </c>
      <c r="I132" s="246">
        <v>68399.100000000006</v>
      </c>
      <c r="J132" s="179">
        <v>68399.100000000006</v>
      </c>
      <c r="L132" s="243"/>
      <c r="M132" s="243"/>
      <c r="N132" s="243"/>
    </row>
    <row r="133" spans="1:15" ht="12.75" hidden="1" customHeight="1" x14ac:dyDescent="0.35">
      <c r="A133" s="244"/>
      <c r="B133" s="245" t="s">
        <v>100</v>
      </c>
      <c r="C133" s="179">
        <v>0</v>
      </c>
      <c r="D133" s="246">
        <v>6196.35</v>
      </c>
      <c r="E133" s="179">
        <v>4227.18</v>
      </c>
      <c r="F133" s="246">
        <v>5118.3</v>
      </c>
      <c r="G133" s="172"/>
      <c r="H133" s="179">
        <v>5118.3</v>
      </c>
      <c r="I133" s="246">
        <v>5374.2150000000001</v>
      </c>
      <c r="J133" s="179">
        <v>5374.2150000000001</v>
      </c>
      <c r="K133" s="243"/>
      <c r="L133" s="243"/>
      <c r="M133" s="243"/>
      <c r="N133" s="243"/>
    </row>
    <row r="134" spans="1:15" ht="12.75" hidden="1" customHeight="1" x14ac:dyDescent="0.35">
      <c r="A134" s="244"/>
      <c r="B134" s="245" t="s">
        <v>164</v>
      </c>
      <c r="C134" s="179">
        <v>0</v>
      </c>
      <c r="D134" s="246">
        <v>1219.56</v>
      </c>
      <c r="E134" s="179">
        <v>971.61</v>
      </c>
      <c r="F134" s="246">
        <v>23178.6</v>
      </c>
      <c r="G134" s="172"/>
      <c r="H134" s="179">
        <v>23178.6</v>
      </c>
      <c r="I134" s="246">
        <v>24337.53</v>
      </c>
      <c r="J134" s="179">
        <v>24337.53</v>
      </c>
      <c r="K134" s="243"/>
      <c r="L134" s="243"/>
      <c r="M134" s="243"/>
      <c r="N134" s="243"/>
    </row>
    <row r="135" spans="1:15" ht="12.75" hidden="1" customHeight="1" x14ac:dyDescent="0.35">
      <c r="A135" s="244"/>
      <c r="B135" s="245" t="s">
        <v>165</v>
      </c>
      <c r="C135" s="179">
        <v>0</v>
      </c>
      <c r="D135" s="246">
        <v>25954.98</v>
      </c>
      <c r="E135" s="179">
        <v>21033.69</v>
      </c>
      <c r="F135" s="246">
        <v>1493.1</v>
      </c>
      <c r="G135" s="172"/>
      <c r="H135" s="179">
        <v>1493.1</v>
      </c>
      <c r="I135" s="246">
        <v>1567.7550000000001</v>
      </c>
      <c r="J135" s="179">
        <v>1567.7550000000001</v>
      </c>
      <c r="K135" s="243"/>
      <c r="L135" s="243"/>
      <c r="M135" s="243"/>
      <c r="N135" s="243"/>
    </row>
    <row r="136" spans="1:15" ht="12.75" hidden="1" customHeight="1" x14ac:dyDescent="0.35">
      <c r="A136" s="244"/>
      <c r="B136" s="249" t="s">
        <v>101</v>
      </c>
      <c r="C136" s="267">
        <v>0</v>
      </c>
      <c r="D136" s="268">
        <v>117474.09</v>
      </c>
      <c r="E136" s="185">
        <v>84341.55</v>
      </c>
      <c r="F136" s="268">
        <v>94932</v>
      </c>
      <c r="G136" s="185"/>
      <c r="H136" s="185">
        <v>94932</v>
      </c>
      <c r="I136" s="268">
        <v>99678.6</v>
      </c>
      <c r="J136" s="267">
        <v>99678.6</v>
      </c>
      <c r="K136" s="243"/>
      <c r="L136" s="243"/>
      <c r="M136" s="243"/>
      <c r="N136" s="243"/>
      <c r="O136" s="243"/>
    </row>
    <row r="137" spans="1:15" ht="12.75" hidden="1" customHeight="1" x14ac:dyDescent="0.35">
      <c r="A137" s="244"/>
      <c r="F137" s="274"/>
      <c r="G137" s="275"/>
      <c r="I137" s="274"/>
      <c r="J137" s="276"/>
      <c r="K137" s="243"/>
      <c r="L137" s="243"/>
      <c r="M137" s="243"/>
      <c r="N137" s="243"/>
    </row>
    <row r="138" spans="1:15" ht="12.75" hidden="1" customHeight="1" x14ac:dyDescent="0.35">
      <c r="A138" s="244">
        <v>11</v>
      </c>
      <c r="B138" s="243" t="s">
        <v>102</v>
      </c>
      <c r="K138" s="243"/>
      <c r="L138" s="243"/>
      <c r="M138" s="243"/>
      <c r="N138" s="243"/>
    </row>
    <row r="139" spans="1:15" ht="12.75" hidden="1" customHeight="1" x14ac:dyDescent="0.35">
      <c r="A139" s="244">
        <v>11.1</v>
      </c>
      <c r="B139" s="245" t="s">
        <v>103</v>
      </c>
      <c r="C139" s="179">
        <v>7955.09</v>
      </c>
      <c r="D139" s="246">
        <v>12973.08</v>
      </c>
      <c r="E139" s="179">
        <v>2650.9</v>
      </c>
      <c r="F139" s="246">
        <v>10000</v>
      </c>
      <c r="G139" s="172"/>
      <c r="H139" s="179">
        <v>10000</v>
      </c>
      <c r="I139" s="246">
        <v>11000</v>
      </c>
      <c r="J139" s="179">
        <v>12000</v>
      </c>
      <c r="K139" s="243"/>
      <c r="L139" s="243"/>
      <c r="M139" s="243"/>
      <c r="N139" s="243"/>
      <c r="O139" s="248"/>
    </row>
    <row r="140" spans="1:15" ht="12.75" hidden="1" customHeight="1" x14ac:dyDescent="0.35">
      <c r="A140" s="244">
        <v>11.2</v>
      </c>
      <c r="B140" s="245" t="s">
        <v>104</v>
      </c>
      <c r="C140" s="179">
        <v>23420.74</v>
      </c>
      <c r="D140" s="246">
        <v>13721.14</v>
      </c>
      <c r="E140" s="179">
        <v>6192.59</v>
      </c>
      <c r="F140" s="246">
        <v>7000</v>
      </c>
      <c r="G140" s="172"/>
      <c r="H140" s="179">
        <v>3500</v>
      </c>
      <c r="I140" s="246">
        <v>3500</v>
      </c>
      <c r="J140" s="179">
        <v>3500</v>
      </c>
      <c r="K140" s="243" t="s">
        <v>202</v>
      </c>
      <c r="L140" s="243"/>
      <c r="M140" s="243"/>
      <c r="N140" s="243"/>
      <c r="O140" s="248"/>
    </row>
    <row r="141" spans="1:15" ht="12.75" hidden="1" customHeight="1" x14ac:dyDescent="0.35">
      <c r="A141" s="244">
        <v>11.3</v>
      </c>
      <c r="B141" s="245" t="s">
        <v>105</v>
      </c>
      <c r="C141" s="179">
        <v>0</v>
      </c>
      <c r="D141" s="246">
        <v>8454.5499999999993</v>
      </c>
      <c r="E141" s="179">
        <v>0</v>
      </c>
      <c r="F141" s="246">
        <v>15000</v>
      </c>
      <c r="G141" s="172"/>
      <c r="H141" s="179"/>
      <c r="I141" s="246">
        <v>0</v>
      </c>
      <c r="J141" s="246">
        <v>17000</v>
      </c>
      <c r="K141" s="243"/>
      <c r="L141" s="243"/>
      <c r="M141" s="243"/>
      <c r="N141" s="243"/>
      <c r="O141" s="248"/>
    </row>
    <row r="142" spans="1:15" ht="12.75" hidden="1" customHeight="1" x14ac:dyDescent="0.35">
      <c r="A142" s="244">
        <v>11.4</v>
      </c>
      <c r="B142" s="245" t="s">
        <v>106</v>
      </c>
      <c r="C142" s="179">
        <v>9999.9599999999991</v>
      </c>
      <c r="D142" s="246">
        <v>12200.01</v>
      </c>
      <c r="E142" s="179">
        <v>9240.01</v>
      </c>
      <c r="F142" s="246">
        <v>9500</v>
      </c>
      <c r="G142" s="172"/>
      <c r="H142" s="179">
        <v>9690</v>
      </c>
      <c r="I142" s="246">
        <v>9883.7999999999993</v>
      </c>
      <c r="J142" s="179">
        <v>10081.475999999999</v>
      </c>
      <c r="K142" s="243" t="s">
        <v>203</v>
      </c>
      <c r="L142" s="243"/>
      <c r="M142" s="243"/>
      <c r="N142" s="243"/>
      <c r="O142" s="248"/>
    </row>
    <row r="143" spans="1:15" ht="12.75" hidden="1" customHeight="1" x14ac:dyDescent="0.35">
      <c r="A143" s="244">
        <v>11.5</v>
      </c>
      <c r="B143" s="245" t="s">
        <v>107</v>
      </c>
      <c r="C143" s="179">
        <v>6182.74</v>
      </c>
      <c r="D143" s="246">
        <v>15544.09</v>
      </c>
      <c r="E143" s="179">
        <v>5227.6499999999996</v>
      </c>
      <c r="F143" s="246">
        <v>5500</v>
      </c>
      <c r="G143" s="172"/>
      <c r="H143" s="179">
        <v>6500</v>
      </c>
      <c r="I143" s="246">
        <v>10000</v>
      </c>
      <c r="J143" s="246">
        <v>5500</v>
      </c>
      <c r="K143" s="243" t="s">
        <v>215</v>
      </c>
      <c r="L143" s="243"/>
      <c r="M143" s="243"/>
      <c r="N143" s="243"/>
      <c r="O143" s="248"/>
    </row>
    <row r="144" spans="1:15" ht="12.75" hidden="1" customHeight="1" x14ac:dyDescent="0.35">
      <c r="A144" s="244">
        <v>11.6</v>
      </c>
      <c r="B144" s="245" t="s">
        <v>108</v>
      </c>
      <c r="C144" s="179">
        <v>113267.79</v>
      </c>
      <c r="D144" s="246">
        <v>197104.55</v>
      </c>
      <c r="E144" s="179">
        <v>86772.7</v>
      </c>
      <c r="F144" s="246">
        <v>150000</v>
      </c>
      <c r="G144" s="172"/>
      <c r="H144" s="179">
        <v>125000</v>
      </c>
      <c r="I144" s="246">
        <v>172340.18999999997</v>
      </c>
      <c r="J144" s="179">
        <v>130000</v>
      </c>
      <c r="K144" s="243" t="s">
        <v>204</v>
      </c>
      <c r="L144" s="243"/>
      <c r="M144" s="243"/>
      <c r="N144" s="243"/>
      <c r="O144" s="248"/>
    </row>
    <row r="145" spans="1:15" ht="12.75" hidden="1" customHeight="1" x14ac:dyDescent="0.35">
      <c r="A145" s="244"/>
      <c r="B145" s="249" t="s">
        <v>109</v>
      </c>
      <c r="C145" s="257">
        <v>160826.32</v>
      </c>
      <c r="D145" s="258">
        <v>259997.41999999998</v>
      </c>
      <c r="E145" s="185">
        <v>110083.85</v>
      </c>
      <c r="F145" s="258">
        <v>197000</v>
      </c>
      <c r="G145" s="177"/>
      <c r="H145" s="185">
        <v>154690</v>
      </c>
      <c r="I145" s="258">
        <v>223723.99</v>
      </c>
      <c r="J145" s="257">
        <v>161081.476</v>
      </c>
      <c r="K145" s="243"/>
      <c r="L145" s="243"/>
      <c r="M145" s="243"/>
      <c r="N145" s="243"/>
      <c r="O145" s="252"/>
    </row>
    <row r="146" spans="1:15" ht="12.75" hidden="1" customHeight="1" x14ac:dyDescent="0.35">
      <c r="A146" s="244"/>
      <c r="C146" s="247"/>
      <c r="D146" s="259"/>
      <c r="E146" s="247"/>
      <c r="F146" s="259"/>
      <c r="G146" s="180"/>
      <c r="H146" s="247"/>
      <c r="I146" s="259"/>
      <c r="J146" s="260"/>
      <c r="K146" s="243"/>
      <c r="L146" s="243"/>
      <c r="M146" s="243"/>
      <c r="N146" s="243"/>
      <c r="O146" s="247"/>
    </row>
    <row r="147" spans="1:15" ht="12.75" hidden="1" customHeight="1" x14ac:dyDescent="0.35">
      <c r="A147" s="244">
        <v>12</v>
      </c>
      <c r="B147" s="243" t="s">
        <v>110</v>
      </c>
      <c r="C147" s="247"/>
      <c r="D147" s="259"/>
      <c r="E147" s="247"/>
      <c r="F147" s="259"/>
      <c r="G147" s="180"/>
      <c r="H147" s="247"/>
      <c r="I147" s="259"/>
      <c r="J147" s="260"/>
      <c r="K147" s="243"/>
      <c r="L147" s="243"/>
      <c r="M147" s="243"/>
      <c r="N147" s="243"/>
      <c r="O147" s="247"/>
    </row>
    <row r="148" spans="1:15" ht="12.75" hidden="1" customHeight="1" x14ac:dyDescent="0.35">
      <c r="A148" s="244"/>
      <c r="B148" s="245" t="s">
        <v>206</v>
      </c>
      <c r="C148" s="179">
        <v>0</v>
      </c>
      <c r="D148" s="246">
        <v>0</v>
      </c>
      <c r="E148" s="179">
        <v>14158.07</v>
      </c>
      <c r="F148" s="246">
        <v>3500</v>
      </c>
      <c r="G148" s="172"/>
      <c r="H148" s="179">
        <v>121500</v>
      </c>
      <c r="I148" s="246">
        <v>4500</v>
      </c>
      <c r="J148" s="179">
        <v>0</v>
      </c>
      <c r="K148" s="243" t="s">
        <v>209</v>
      </c>
      <c r="L148" s="243"/>
      <c r="M148" s="243"/>
      <c r="N148" s="243"/>
      <c r="O148" s="248"/>
    </row>
    <row r="149" spans="1:15" ht="12.75" hidden="1" customHeight="1" x14ac:dyDescent="0.35">
      <c r="A149" s="244"/>
      <c r="B149" s="245" t="s">
        <v>111</v>
      </c>
      <c r="C149" s="179">
        <v>0</v>
      </c>
      <c r="D149" s="246">
        <v>0</v>
      </c>
      <c r="E149" s="179">
        <v>1492</v>
      </c>
      <c r="F149" s="246"/>
      <c r="G149" s="172"/>
      <c r="H149" s="179"/>
      <c r="I149" s="246"/>
      <c r="J149" s="179"/>
      <c r="K149" s="243"/>
      <c r="L149" s="243"/>
      <c r="M149" s="243"/>
      <c r="N149" s="243"/>
      <c r="O149" s="247"/>
    </row>
    <row r="150" spans="1:15" ht="12.75" hidden="1" customHeight="1" x14ac:dyDescent="0.35">
      <c r="A150" s="244"/>
      <c r="B150" s="245" t="s">
        <v>112</v>
      </c>
      <c r="C150" s="179">
        <v>4454.51</v>
      </c>
      <c r="D150" s="246">
        <v>0</v>
      </c>
      <c r="E150" s="179">
        <v>0</v>
      </c>
      <c r="F150" s="246">
        <v>63289</v>
      </c>
      <c r="G150" s="172"/>
      <c r="H150" s="179">
        <v>0</v>
      </c>
      <c r="I150" s="246">
        <v>0</v>
      </c>
      <c r="J150" s="179">
        <v>0</v>
      </c>
      <c r="K150" s="243"/>
      <c r="L150" s="243"/>
      <c r="M150" s="243"/>
      <c r="N150" s="243"/>
      <c r="O150" s="248"/>
    </row>
    <row r="151" spans="1:15" ht="12.75" hidden="1" customHeight="1" x14ac:dyDescent="0.35">
      <c r="A151" s="244"/>
      <c r="C151" s="247"/>
      <c r="D151" s="259"/>
      <c r="E151" s="247"/>
      <c r="F151" s="259"/>
      <c r="G151" s="180"/>
      <c r="H151" s="247"/>
      <c r="I151" s="259"/>
      <c r="J151" s="260"/>
      <c r="K151" s="243"/>
      <c r="L151" s="243"/>
      <c r="M151" s="243"/>
      <c r="N151" s="243"/>
      <c r="O151" s="247"/>
    </row>
    <row r="152" spans="1:15" ht="12.75" hidden="1" customHeight="1" x14ac:dyDescent="0.35">
      <c r="A152" s="244">
        <v>13</v>
      </c>
      <c r="B152" s="243" t="s">
        <v>113</v>
      </c>
      <c r="C152" s="247"/>
      <c r="D152" s="259"/>
      <c r="E152" s="247"/>
      <c r="F152" s="259"/>
      <c r="G152" s="180"/>
      <c r="H152" s="247"/>
      <c r="I152" s="259"/>
      <c r="J152" s="260"/>
      <c r="K152" s="243"/>
      <c r="L152" s="243"/>
      <c r="M152" s="243"/>
      <c r="N152" s="243"/>
      <c r="O152" s="247"/>
    </row>
    <row r="153" spans="1:15" ht="12.75" hidden="1" customHeight="1" x14ac:dyDescent="0.35">
      <c r="A153" s="244"/>
      <c r="B153" s="245"/>
      <c r="D153" s="277"/>
      <c r="E153" s="248"/>
      <c r="F153" s="277"/>
      <c r="G153" s="278"/>
      <c r="H153" s="248"/>
      <c r="I153" s="277"/>
      <c r="J153" s="248"/>
      <c r="K153" s="243"/>
      <c r="L153" s="243"/>
      <c r="M153" s="243"/>
      <c r="N153" s="243"/>
      <c r="O153" s="248"/>
    </row>
    <row r="154" spans="1:15" ht="12.75" hidden="1" customHeight="1" x14ac:dyDescent="0.35">
      <c r="A154" s="244"/>
      <c r="B154" s="245" t="s">
        <v>152</v>
      </c>
      <c r="C154" s="179">
        <v>34706.449999999997</v>
      </c>
      <c r="D154" s="246">
        <v>0</v>
      </c>
      <c r="E154" s="179">
        <v>75307.61</v>
      </c>
      <c r="F154" s="246">
        <v>0</v>
      </c>
      <c r="G154" s="172"/>
      <c r="H154" s="179">
        <v>83000</v>
      </c>
      <c r="I154" s="246">
        <v>0</v>
      </c>
      <c r="J154" s="179">
        <v>87150</v>
      </c>
      <c r="K154" s="243" t="s">
        <v>207</v>
      </c>
      <c r="L154" s="243"/>
      <c r="M154" s="243"/>
      <c r="N154" s="243"/>
      <c r="O154" s="248"/>
    </row>
    <row r="155" spans="1:15" ht="12.75" hidden="1" customHeight="1" x14ac:dyDescent="0.35">
      <c r="A155" s="244"/>
      <c r="B155" s="249" t="s">
        <v>114</v>
      </c>
      <c r="C155" s="257">
        <v>34706.449999999997</v>
      </c>
      <c r="D155" s="258">
        <v>0</v>
      </c>
      <c r="E155" s="257">
        <v>75307.61</v>
      </c>
      <c r="F155" s="258">
        <v>0</v>
      </c>
      <c r="G155" s="177"/>
      <c r="H155" s="257">
        <v>83000</v>
      </c>
      <c r="I155" s="258">
        <v>0</v>
      </c>
      <c r="J155" s="257">
        <v>87150</v>
      </c>
      <c r="K155" s="243"/>
      <c r="L155" s="243"/>
      <c r="M155" s="243"/>
      <c r="N155" s="243"/>
      <c r="O155" s="252"/>
    </row>
    <row r="156" spans="1:15" ht="12.75" hidden="1" customHeight="1" x14ac:dyDescent="0.35">
      <c r="A156" s="244"/>
      <c r="C156" s="247"/>
      <c r="D156" s="259"/>
      <c r="E156" s="247"/>
      <c r="F156" s="259"/>
      <c r="G156" s="180"/>
      <c r="H156" s="247"/>
      <c r="I156" s="259"/>
      <c r="J156" s="260"/>
      <c r="K156" s="243"/>
      <c r="L156" s="243"/>
      <c r="M156" s="243"/>
      <c r="N156" s="243"/>
      <c r="O156" s="247"/>
    </row>
    <row r="157" spans="1:15" ht="12.75" hidden="1" customHeight="1" x14ac:dyDescent="0.35">
      <c r="A157" s="244">
        <v>14</v>
      </c>
      <c r="B157" s="243" t="s">
        <v>115</v>
      </c>
      <c r="C157" s="247"/>
      <c r="D157" s="259"/>
      <c r="E157" s="247"/>
      <c r="F157" s="259"/>
      <c r="G157" s="180"/>
      <c r="H157" s="247"/>
      <c r="I157" s="259"/>
      <c r="J157" s="260"/>
      <c r="K157" s="243"/>
      <c r="L157" s="243"/>
      <c r="M157" s="243"/>
      <c r="N157" s="243"/>
      <c r="O157" s="247"/>
    </row>
    <row r="158" spans="1:15" ht="12.75" hidden="1" customHeight="1" x14ac:dyDescent="0.35">
      <c r="A158" s="244"/>
      <c r="B158" s="245" t="s">
        <v>116</v>
      </c>
      <c r="C158" s="179">
        <v>0</v>
      </c>
      <c r="D158" s="246">
        <v>97921.01</v>
      </c>
      <c r="E158" s="179">
        <v>0</v>
      </c>
      <c r="F158" s="246">
        <v>47742</v>
      </c>
      <c r="G158" s="172"/>
      <c r="H158" s="179">
        <v>0</v>
      </c>
      <c r="I158" s="246">
        <v>50129.1</v>
      </c>
      <c r="J158" s="179">
        <v>0</v>
      </c>
      <c r="K158" s="243"/>
      <c r="L158" s="243"/>
      <c r="M158" s="243"/>
      <c r="N158" s="243"/>
      <c r="O158" s="247"/>
    </row>
    <row r="159" spans="1:15" ht="12.75" hidden="1" customHeight="1" x14ac:dyDescent="0.35">
      <c r="A159" s="244"/>
      <c r="B159" s="245" t="s">
        <v>117</v>
      </c>
      <c r="C159" s="179">
        <v>0</v>
      </c>
      <c r="D159" s="246">
        <v>12240.3</v>
      </c>
      <c r="E159" s="179">
        <v>0</v>
      </c>
      <c r="F159" s="246">
        <v>71771</v>
      </c>
      <c r="G159" s="172"/>
      <c r="H159" s="179">
        <v>0</v>
      </c>
      <c r="I159" s="246">
        <v>25100</v>
      </c>
      <c r="J159" s="179">
        <v>0</v>
      </c>
      <c r="K159" s="243" t="s">
        <v>214</v>
      </c>
      <c r="L159" s="243"/>
      <c r="M159" s="243"/>
      <c r="N159" s="243"/>
      <c r="O159" s="247"/>
    </row>
    <row r="160" spans="1:15" ht="12.75" hidden="1" customHeight="1" x14ac:dyDescent="0.35">
      <c r="A160" s="244"/>
      <c r="B160" s="245" t="s">
        <v>118</v>
      </c>
      <c r="C160" s="179">
        <v>0</v>
      </c>
      <c r="D160" s="246">
        <v>1776.32</v>
      </c>
      <c r="E160" s="179">
        <v>0</v>
      </c>
      <c r="F160" s="246">
        <v>10364</v>
      </c>
      <c r="G160" s="172"/>
      <c r="H160" s="179">
        <v>0</v>
      </c>
      <c r="I160" s="246">
        <v>10882.2</v>
      </c>
      <c r="J160" s="179">
        <v>0</v>
      </c>
      <c r="K160" s="243" t="s">
        <v>213</v>
      </c>
      <c r="L160" s="243"/>
      <c r="M160" s="243"/>
      <c r="N160" s="243"/>
      <c r="O160" s="247"/>
    </row>
    <row r="161" spans="1:15" ht="12.75" hidden="1" customHeight="1" x14ac:dyDescent="0.35">
      <c r="A161" s="244"/>
      <c r="B161" s="249" t="s">
        <v>119</v>
      </c>
      <c r="C161" s="257">
        <v>0</v>
      </c>
      <c r="D161" s="258">
        <v>111937.63</v>
      </c>
      <c r="E161" s="257">
        <v>0</v>
      </c>
      <c r="F161" s="258">
        <v>129877</v>
      </c>
      <c r="G161" s="177"/>
      <c r="H161" s="257">
        <v>0</v>
      </c>
      <c r="I161" s="258">
        <v>86111.3</v>
      </c>
      <c r="J161" s="257">
        <v>0</v>
      </c>
      <c r="K161" s="243"/>
      <c r="L161" s="243"/>
      <c r="M161" s="243"/>
      <c r="N161" s="243"/>
      <c r="O161" s="252"/>
    </row>
    <row r="162" spans="1:15" ht="12.75" hidden="1" customHeight="1" x14ac:dyDescent="0.35">
      <c r="A162" s="244"/>
      <c r="C162" s="247"/>
      <c r="D162" s="259"/>
      <c r="E162" s="247"/>
      <c r="F162" s="259"/>
      <c r="G162" s="180"/>
      <c r="H162" s="247"/>
      <c r="I162" s="259"/>
      <c r="J162" s="260"/>
      <c r="K162" s="243"/>
      <c r="L162" s="243"/>
      <c r="M162" s="243"/>
      <c r="N162" s="243"/>
      <c r="O162" s="247"/>
    </row>
    <row r="163" spans="1:15" ht="12.75" hidden="1" customHeight="1" x14ac:dyDescent="0.35">
      <c r="A163" s="244">
        <v>15</v>
      </c>
      <c r="B163" s="243" t="s">
        <v>120</v>
      </c>
      <c r="C163" s="247"/>
      <c r="D163" s="259"/>
      <c r="E163" s="247"/>
      <c r="F163" s="259"/>
      <c r="G163" s="180"/>
      <c r="H163" s="247"/>
      <c r="I163" s="259"/>
      <c r="J163" s="260"/>
      <c r="K163" s="243"/>
      <c r="L163" s="243"/>
      <c r="M163" s="243"/>
      <c r="N163" s="243"/>
      <c r="O163" s="247"/>
    </row>
    <row r="164" spans="1:15" ht="12.75" hidden="1" customHeight="1" x14ac:dyDescent="0.35">
      <c r="A164" s="244"/>
      <c r="B164" s="245" t="s">
        <v>55</v>
      </c>
      <c r="C164" s="248">
        <v>0</v>
      </c>
      <c r="D164" s="277">
        <v>130751.62</v>
      </c>
      <c r="E164" s="248">
        <v>157.02000000000001</v>
      </c>
      <c r="F164" s="277">
        <v>134000</v>
      </c>
      <c r="G164" s="278"/>
      <c r="H164" s="248">
        <v>0</v>
      </c>
      <c r="I164" s="259">
        <v>140700</v>
      </c>
      <c r="J164" s="260">
        <v>0</v>
      </c>
      <c r="K164" s="243" t="s">
        <v>208</v>
      </c>
      <c r="L164" s="243"/>
      <c r="M164" s="243"/>
      <c r="N164" s="243"/>
      <c r="O164" s="247"/>
    </row>
    <row r="165" spans="1:15" ht="12.75" hidden="1" customHeight="1" x14ac:dyDescent="0.35">
      <c r="A165" s="244"/>
      <c r="B165" s="249" t="s">
        <v>121</v>
      </c>
      <c r="C165" s="257">
        <v>0</v>
      </c>
      <c r="D165" s="258">
        <v>130751.62</v>
      </c>
      <c r="E165" s="257">
        <v>157.02000000000001</v>
      </c>
      <c r="F165" s="258">
        <v>134000</v>
      </c>
      <c r="G165" s="177"/>
      <c r="H165" s="257">
        <v>0</v>
      </c>
      <c r="I165" s="258">
        <v>140700</v>
      </c>
      <c r="J165" s="257">
        <v>0</v>
      </c>
      <c r="K165" s="243"/>
      <c r="L165" s="243"/>
      <c r="M165" s="243"/>
      <c r="N165" s="243"/>
      <c r="O165" s="252"/>
    </row>
    <row r="166" spans="1:15" ht="12.75" hidden="1" customHeight="1" x14ac:dyDescent="0.35">
      <c r="A166" s="244"/>
      <c r="C166" s="247"/>
      <c r="D166" s="259"/>
      <c r="E166" s="247"/>
      <c r="F166" s="259"/>
      <c r="G166" s="180"/>
      <c r="H166" s="247"/>
      <c r="I166" s="259"/>
      <c r="J166" s="260"/>
      <c r="K166" s="243"/>
      <c r="L166" s="243"/>
      <c r="M166" s="243"/>
      <c r="N166" s="243"/>
      <c r="O166" s="247"/>
    </row>
    <row r="167" spans="1:15" ht="12.75" hidden="1" customHeight="1" x14ac:dyDescent="0.35">
      <c r="A167" s="244">
        <v>16</v>
      </c>
      <c r="B167" s="243" t="s">
        <v>122</v>
      </c>
      <c r="C167" s="247"/>
      <c r="D167" s="259"/>
      <c r="E167" s="247"/>
      <c r="F167" s="259"/>
      <c r="G167" s="180"/>
      <c r="H167" s="247"/>
      <c r="I167" s="259"/>
      <c r="J167" s="260"/>
      <c r="K167" s="243"/>
      <c r="L167" s="243"/>
      <c r="M167" s="243"/>
      <c r="N167" s="243"/>
      <c r="O167" s="247"/>
    </row>
    <row r="168" spans="1:15" ht="12.75" hidden="1" customHeight="1" x14ac:dyDescent="0.35">
      <c r="A168" s="244"/>
      <c r="B168" s="245" t="s">
        <v>123</v>
      </c>
      <c r="C168" s="179">
        <v>0</v>
      </c>
      <c r="D168" s="246">
        <v>2089.73</v>
      </c>
      <c r="E168" s="179">
        <v>2154.39</v>
      </c>
      <c r="F168" s="246">
        <v>10000</v>
      </c>
      <c r="G168" s="172"/>
      <c r="H168" s="179">
        <v>10000</v>
      </c>
      <c r="I168" s="246">
        <v>10000</v>
      </c>
      <c r="J168" s="179">
        <v>10000</v>
      </c>
      <c r="K168" s="243"/>
      <c r="L168" s="243"/>
      <c r="M168" s="243"/>
      <c r="N168" s="243"/>
      <c r="O168" s="248"/>
    </row>
    <row r="169" spans="1:15" ht="12.75" hidden="1" customHeight="1" x14ac:dyDescent="0.35">
      <c r="A169" s="244"/>
      <c r="B169" s="249" t="s">
        <v>124</v>
      </c>
      <c r="C169" s="257">
        <v>0</v>
      </c>
      <c r="D169" s="258">
        <v>2089.73</v>
      </c>
      <c r="E169" s="257">
        <v>2154.39</v>
      </c>
      <c r="F169" s="258">
        <v>10000</v>
      </c>
      <c r="G169" s="177"/>
      <c r="H169" s="257">
        <v>10000</v>
      </c>
      <c r="I169" s="258">
        <v>10000</v>
      </c>
      <c r="J169" s="257">
        <v>10000</v>
      </c>
      <c r="K169" s="243"/>
      <c r="L169" s="243"/>
      <c r="M169" s="243"/>
      <c r="N169" s="243"/>
      <c r="O169" s="252"/>
    </row>
    <row r="170" spans="1:15" ht="12.75" hidden="1" customHeight="1" x14ac:dyDescent="0.35">
      <c r="A170" s="244"/>
      <c r="C170" s="247"/>
      <c r="D170" s="259"/>
      <c r="E170" s="247"/>
      <c r="F170" s="259"/>
      <c r="G170" s="180"/>
      <c r="H170" s="247"/>
      <c r="I170" s="259"/>
      <c r="J170" s="260"/>
      <c r="K170" s="243"/>
      <c r="L170" s="243"/>
      <c r="M170" s="243"/>
      <c r="N170" s="243"/>
      <c r="O170" s="247"/>
    </row>
    <row r="171" spans="1:15" ht="12.75" hidden="1" customHeight="1" thickBot="1" x14ac:dyDescent="0.4">
      <c r="A171" s="244"/>
      <c r="B171" s="253" t="s">
        <v>125</v>
      </c>
      <c r="C171" s="261">
        <v>39160.959999999999</v>
      </c>
      <c r="D171" s="262">
        <v>244778.98</v>
      </c>
      <c r="E171" s="261">
        <v>93269.09</v>
      </c>
      <c r="F171" s="262">
        <v>340666</v>
      </c>
      <c r="G171" s="178"/>
      <c r="H171" s="261">
        <v>214500</v>
      </c>
      <c r="I171" s="262">
        <v>241311.3</v>
      </c>
      <c r="J171" s="261">
        <v>97150</v>
      </c>
      <c r="K171" s="243"/>
      <c r="L171" s="243"/>
      <c r="M171" s="243"/>
      <c r="N171" s="243"/>
      <c r="O171" s="252"/>
    </row>
    <row r="172" spans="1:15" ht="12.75" hidden="1" customHeight="1" thickTop="1" x14ac:dyDescent="0.35">
      <c r="A172" s="244"/>
      <c r="C172" s="247"/>
      <c r="D172" s="259"/>
      <c r="E172" s="247"/>
      <c r="F172" s="259"/>
      <c r="G172" s="180"/>
      <c r="H172" s="247"/>
      <c r="I172" s="259"/>
      <c r="J172" s="260"/>
      <c r="K172" s="243"/>
      <c r="L172" s="243"/>
      <c r="M172" s="243"/>
      <c r="N172" s="243"/>
      <c r="O172" s="247"/>
    </row>
    <row r="173" spans="1:15" ht="12.75" hidden="1" customHeight="1" thickBot="1" x14ac:dyDescent="0.4">
      <c r="A173" s="244"/>
      <c r="B173" s="253" t="s">
        <v>126</v>
      </c>
      <c r="C173" s="261">
        <v>595328.86</v>
      </c>
      <c r="D173" s="262">
        <v>1032353.76</v>
      </c>
      <c r="E173" s="185">
        <v>684588.63</v>
      </c>
      <c r="F173" s="262">
        <v>1027708</v>
      </c>
      <c r="G173" s="178"/>
      <c r="H173" s="261">
        <v>859765.56579999998</v>
      </c>
      <c r="I173" s="262">
        <v>970039.16448400007</v>
      </c>
      <c r="J173" s="261">
        <v>777015.82159432</v>
      </c>
      <c r="K173" s="243"/>
      <c r="L173" s="243"/>
      <c r="M173" s="243"/>
      <c r="N173" s="243"/>
      <c r="O173" s="252">
        <v>0</v>
      </c>
    </row>
    <row r="174" spans="1:15" ht="12.75" hidden="1" customHeight="1" thickTop="1" x14ac:dyDescent="0.35">
      <c r="A174" s="244"/>
      <c r="C174" s="247"/>
      <c r="D174" s="259"/>
      <c r="E174" s="247"/>
      <c r="F174" s="259"/>
      <c r="G174" s="180"/>
      <c r="H174" s="247"/>
      <c r="I174" s="259"/>
      <c r="J174" s="260"/>
      <c r="K174" s="243"/>
      <c r="L174" s="243"/>
      <c r="M174" s="243"/>
      <c r="N174" s="243"/>
      <c r="O174" s="247"/>
    </row>
    <row r="175" spans="1:15" ht="12.75" hidden="1" customHeight="1" thickBot="1" x14ac:dyDescent="0.4">
      <c r="A175" s="244">
        <v>17</v>
      </c>
      <c r="B175" s="253" t="s">
        <v>168</v>
      </c>
      <c r="C175" s="279">
        <v>-84265.87</v>
      </c>
      <c r="D175" s="280">
        <v>-181487.35999999987</v>
      </c>
      <c r="E175" s="261">
        <v>37392.890000000014</v>
      </c>
      <c r="F175" s="262">
        <v>22960.349469090812</v>
      </c>
      <c r="G175" s="178"/>
      <c r="H175" s="261">
        <v>20146.91165454546</v>
      </c>
      <c r="I175" s="262">
        <v>28002.241343272734</v>
      </c>
      <c r="J175" s="261">
        <v>24695.562024316518</v>
      </c>
      <c r="K175" s="243"/>
      <c r="L175" s="243"/>
      <c r="M175" s="243"/>
      <c r="N175" s="243"/>
      <c r="O175" s="252"/>
    </row>
    <row r="176" spans="1:15" ht="12.75" hidden="1" customHeight="1" thickTop="1" x14ac:dyDescent="0.35">
      <c r="A176" s="244"/>
      <c r="K176" s="243"/>
      <c r="L176" s="243"/>
      <c r="M176" s="243"/>
      <c r="N176" s="243"/>
    </row>
    <row r="177" spans="1:15" ht="12.75" hidden="1" customHeight="1" x14ac:dyDescent="0.35">
      <c r="A177" s="244"/>
      <c r="B177" s="243" t="s">
        <v>127</v>
      </c>
      <c r="K177" s="243"/>
      <c r="L177" s="243"/>
      <c r="M177" s="243"/>
      <c r="N177" s="243"/>
    </row>
    <row r="178" spans="1:15" ht="12.75" hidden="1" customHeight="1" x14ac:dyDescent="0.35">
      <c r="A178" s="244"/>
      <c r="B178" s="245" t="s">
        <v>128</v>
      </c>
      <c r="C178" s="179">
        <v>0</v>
      </c>
      <c r="D178" s="246">
        <v>0</v>
      </c>
      <c r="E178" s="179">
        <v>30256.32</v>
      </c>
      <c r="K178" s="243"/>
      <c r="L178" s="243"/>
      <c r="M178" s="243"/>
      <c r="N178" s="243"/>
    </row>
    <row r="179" spans="1:15" ht="12.75" hidden="1" customHeight="1" x14ac:dyDescent="0.35">
      <c r="A179" s="244"/>
      <c r="B179" s="249" t="s">
        <v>129</v>
      </c>
      <c r="C179" s="179">
        <v>0</v>
      </c>
      <c r="D179" s="246">
        <v>0</v>
      </c>
      <c r="E179" s="179">
        <v>30256.32</v>
      </c>
      <c r="K179" s="243"/>
      <c r="L179" s="243"/>
      <c r="M179" s="243"/>
      <c r="N179" s="243"/>
    </row>
    <row r="180" spans="1:15" ht="12.75" hidden="1" customHeight="1" x14ac:dyDescent="0.35">
      <c r="A180" s="244"/>
      <c r="C180" s="247"/>
      <c r="D180" s="259"/>
      <c r="E180" s="247"/>
      <c r="K180" s="243"/>
      <c r="L180" s="243"/>
      <c r="M180" s="243"/>
      <c r="N180" s="243"/>
    </row>
    <row r="181" spans="1:15" ht="12.75" hidden="1" customHeight="1" thickBot="1" x14ac:dyDescent="0.4">
      <c r="A181" s="244"/>
      <c r="B181" s="253" t="s">
        <v>219</v>
      </c>
      <c r="C181" s="279">
        <v>-84265.87</v>
      </c>
      <c r="D181" s="280">
        <v>-181487.35999999987</v>
      </c>
      <c r="E181" s="279">
        <v>7136.5700000000143</v>
      </c>
      <c r="F181" s="280">
        <v>22960.349469090812</v>
      </c>
      <c r="G181" s="281"/>
      <c r="H181" s="282">
        <v>20146.91165454546</v>
      </c>
      <c r="I181" s="282">
        <v>28002.241343272734</v>
      </c>
      <c r="J181" s="282">
        <v>24695.562024316518</v>
      </c>
      <c r="K181" s="243"/>
      <c r="L181" s="243"/>
      <c r="M181" s="243"/>
      <c r="N181" s="243"/>
    </row>
    <row r="182" spans="1:15" ht="16.5" hidden="1" customHeight="1" thickTop="1" x14ac:dyDescent="0.35">
      <c r="A182" s="244"/>
      <c r="K182" s="243"/>
      <c r="L182" s="243"/>
      <c r="M182" s="243"/>
      <c r="N182" s="243"/>
    </row>
    <row r="183" spans="1:15" ht="12.75" hidden="1" customHeight="1" x14ac:dyDescent="0.35">
      <c r="A183" s="244"/>
      <c r="C183" s="161" t="s">
        <v>2</v>
      </c>
      <c r="D183" s="162" t="s">
        <v>1</v>
      </c>
      <c r="E183" s="161" t="s">
        <v>0</v>
      </c>
      <c r="F183" s="157">
        <v>43617</v>
      </c>
      <c r="G183" s="155"/>
      <c r="H183" s="156">
        <v>43983</v>
      </c>
      <c r="I183" s="157">
        <v>44348</v>
      </c>
      <c r="J183" s="157">
        <v>44713</v>
      </c>
      <c r="K183" s="243"/>
      <c r="L183" s="243"/>
      <c r="M183" s="243"/>
      <c r="N183" s="243"/>
    </row>
    <row r="184" spans="1:15" ht="12.75" hidden="1" customHeight="1" x14ac:dyDescent="0.35">
      <c r="A184" s="244"/>
      <c r="B184" s="150"/>
      <c r="F184" s="162" t="s">
        <v>131</v>
      </c>
      <c r="G184" s="160"/>
      <c r="H184" s="161" t="s">
        <v>132</v>
      </c>
      <c r="I184" s="162" t="s">
        <v>132</v>
      </c>
      <c r="J184" s="161" t="s">
        <v>132</v>
      </c>
      <c r="K184" s="243"/>
      <c r="L184" s="243"/>
      <c r="M184" s="243"/>
      <c r="N184" s="243"/>
      <c r="O184" s="150"/>
    </row>
    <row r="185" spans="1:15" ht="12.75" hidden="1" customHeight="1" x14ac:dyDescent="0.35">
      <c r="A185" s="244"/>
      <c r="B185" s="150"/>
      <c r="C185" s="150"/>
      <c r="D185" s="150"/>
      <c r="E185" s="150"/>
      <c r="F185" s="150"/>
      <c r="H185" s="150"/>
      <c r="I185" s="150"/>
      <c r="K185" s="243"/>
      <c r="L185" s="243"/>
      <c r="M185" s="243"/>
      <c r="N185" s="243"/>
      <c r="O185" s="150"/>
    </row>
    <row r="186" spans="1:15" ht="12.75" hidden="1" customHeight="1" x14ac:dyDescent="0.35">
      <c r="A186" s="244"/>
      <c r="B186" s="150"/>
      <c r="C186" s="150"/>
      <c r="D186" s="150"/>
      <c r="E186" s="150"/>
      <c r="F186" s="150"/>
      <c r="H186" s="150"/>
      <c r="I186" s="150"/>
      <c r="K186" s="243"/>
      <c r="L186" s="243"/>
      <c r="M186" s="243"/>
      <c r="N186" s="243"/>
      <c r="O186" s="150"/>
    </row>
    <row r="187" spans="1:15" ht="12.75" hidden="1" customHeight="1" x14ac:dyDescent="0.35">
      <c r="A187" s="244"/>
      <c r="B187" s="283"/>
      <c r="C187" s="283"/>
      <c r="D187" s="283"/>
      <c r="E187" s="283"/>
      <c r="F187" s="150"/>
      <c r="H187" s="150"/>
      <c r="I187" s="150"/>
      <c r="K187" s="243"/>
      <c r="L187" s="243"/>
      <c r="M187" s="243"/>
      <c r="N187" s="243"/>
      <c r="O187" s="150"/>
    </row>
    <row r="188" spans="1:15" ht="27.75" hidden="1" customHeight="1" x14ac:dyDescent="0.35">
      <c r="A188" s="244"/>
      <c r="B188" s="283"/>
      <c r="C188" s="283"/>
      <c r="D188" s="283"/>
      <c r="E188" s="283"/>
      <c r="F188" s="150"/>
      <c r="H188" s="150"/>
      <c r="I188" s="150"/>
      <c r="K188" s="243"/>
      <c r="L188" s="243"/>
      <c r="M188" s="243"/>
      <c r="N188" s="243"/>
      <c r="O188" s="150"/>
    </row>
    <row r="189" spans="1:15" ht="12.75" hidden="1" customHeight="1" x14ac:dyDescent="0.35">
      <c r="A189" s="244"/>
      <c r="B189" s="284"/>
      <c r="C189" s="283"/>
      <c r="D189" s="283"/>
      <c r="E189" s="283"/>
      <c r="F189" s="150"/>
      <c r="H189" s="150"/>
      <c r="I189" s="150"/>
      <c r="K189" s="243"/>
      <c r="L189" s="243"/>
      <c r="M189" s="243"/>
      <c r="N189" s="243"/>
      <c r="O189" s="150"/>
    </row>
    <row r="190" spans="1:15" ht="12.75" hidden="1" customHeight="1" x14ac:dyDescent="0.35">
      <c r="A190" s="244"/>
      <c r="B190" s="284"/>
      <c r="C190" s="283"/>
      <c r="D190" s="283"/>
      <c r="E190" s="283"/>
      <c r="F190" s="150"/>
      <c r="H190" s="150"/>
      <c r="I190" s="150"/>
      <c r="K190" s="243"/>
      <c r="L190" s="243"/>
      <c r="M190" s="243"/>
      <c r="N190" s="243"/>
      <c r="O190" s="150"/>
    </row>
    <row r="191" spans="1:15" ht="12.75" hidden="1" customHeight="1" x14ac:dyDescent="0.35">
      <c r="A191" s="244"/>
      <c r="B191" s="285"/>
      <c r="C191" s="286"/>
      <c r="D191" s="286"/>
      <c r="E191" s="287"/>
      <c r="F191" s="150"/>
      <c r="H191" s="150"/>
      <c r="I191" s="150"/>
      <c r="K191" s="243"/>
      <c r="L191" s="243"/>
      <c r="M191" s="243"/>
      <c r="N191" s="243"/>
      <c r="O191" s="150"/>
    </row>
    <row r="192" spans="1:15" ht="12.75" hidden="1" customHeight="1" x14ac:dyDescent="0.35">
      <c r="A192" s="244"/>
      <c r="B192" s="284"/>
      <c r="C192" s="283"/>
      <c r="D192" s="283"/>
      <c r="E192" s="287"/>
      <c r="F192" s="150"/>
      <c r="H192" s="150"/>
      <c r="I192" s="150"/>
      <c r="K192" s="243"/>
      <c r="L192" s="243"/>
      <c r="M192" s="243"/>
      <c r="N192" s="243"/>
      <c r="O192" s="150"/>
    </row>
    <row r="193" spans="1:15" ht="12.75" hidden="1" customHeight="1" x14ac:dyDescent="0.35">
      <c r="A193" s="244"/>
      <c r="B193" s="284"/>
      <c r="C193" s="283"/>
      <c r="D193" s="283"/>
      <c r="E193" s="283"/>
      <c r="F193" s="150"/>
      <c r="H193" s="150"/>
      <c r="I193" s="150"/>
      <c r="K193" s="243"/>
      <c r="L193" s="243"/>
      <c r="M193" s="243"/>
      <c r="N193" s="243"/>
      <c r="O193" s="150"/>
    </row>
    <row r="194" spans="1:15" ht="12.75" hidden="1" customHeight="1" x14ac:dyDescent="0.35">
      <c r="A194" s="244"/>
      <c r="B194" s="285"/>
      <c r="C194" s="286"/>
      <c r="D194" s="283"/>
      <c r="E194" s="288"/>
      <c r="F194" s="150"/>
      <c r="H194" s="150"/>
      <c r="I194" s="150"/>
      <c r="K194" s="243"/>
      <c r="L194" s="243"/>
      <c r="M194" s="243"/>
      <c r="N194" s="243"/>
      <c r="O194" s="150"/>
    </row>
    <row r="195" spans="1:15" ht="12.75" hidden="1" customHeight="1" x14ac:dyDescent="0.35">
      <c r="A195" s="244"/>
      <c r="B195" s="285"/>
      <c r="C195" s="286"/>
      <c r="D195" s="286"/>
      <c r="E195" s="288"/>
      <c r="F195" s="150"/>
      <c r="H195" s="150"/>
      <c r="I195" s="150"/>
      <c r="K195" s="243"/>
      <c r="L195" s="243"/>
      <c r="M195" s="243"/>
      <c r="N195" s="243"/>
      <c r="O195" s="150"/>
    </row>
    <row r="196" spans="1:15" ht="12.75" hidden="1" customHeight="1" x14ac:dyDescent="0.35">
      <c r="A196" s="244"/>
      <c r="B196" s="284"/>
      <c r="C196" s="286"/>
      <c r="D196" s="283"/>
      <c r="E196" s="288"/>
      <c r="F196" s="150"/>
      <c r="H196" s="150"/>
      <c r="I196" s="150"/>
      <c r="K196" s="243"/>
      <c r="L196" s="243"/>
      <c r="M196" s="243"/>
      <c r="N196" s="243"/>
      <c r="O196" s="150"/>
    </row>
    <row r="197" spans="1:15" ht="12.75" hidden="1" customHeight="1" x14ac:dyDescent="0.35">
      <c r="A197" s="244"/>
      <c r="B197" s="284"/>
      <c r="C197" s="283"/>
      <c r="D197" s="283"/>
      <c r="E197" s="288"/>
      <c r="F197" s="150"/>
      <c r="H197" s="150"/>
      <c r="I197" s="150"/>
      <c r="K197" s="243"/>
      <c r="L197" s="243"/>
      <c r="M197" s="243"/>
      <c r="N197" s="243"/>
      <c r="O197" s="150"/>
    </row>
    <row r="198" spans="1:15" ht="12.75" hidden="1" customHeight="1" x14ac:dyDescent="0.35">
      <c r="A198" s="244"/>
      <c r="B198" s="284"/>
      <c r="C198" s="283"/>
      <c r="D198" s="283"/>
      <c r="E198" s="288"/>
      <c r="F198" s="150"/>
      <c r="H198" s="150"/>
      <c r="I198" s="150"/>
      <c r="O198" s="150"/>
    </row>
    <row r="199" spans="1:15" ht="12.75" hidden="1" customHeight="1" x14ac:dyDescent="0.35">
      <c r="A199" s="244"/>
      <c r="B199" s="284"/>
      <c r="C199" s="283"/>
      <c r="D199" s="283"/>
      <c r="E199" s="288"/>
      <c r="F199" s="150"/>
      <c r="H199" s="150"/>
      <c r="I199" s="150"/>
      <c r="O199" s="150"/>
    </row>
    <row r="200" spans="1:15" ht="12.75" hidden="1" customHeight="1" x14ac:dyDescent="0.35">
      <c r="A200" s="244"/>
      <c r="B200" s="284"/>
      <c r="C200" s="283"/>
      <c r="D200" s="286"/>
      <c r="E200" s="288"/>
      <c r="F200" s="150"/>
      <c r="H200" s="150"/>
      <c r="I200" s="150"/>
      <c r="O200" s="150"/>
    </row>
    <row r="201" spans="1:15" ht="12.75" hidden="1" customHeight="1" x14ac:dyDescent="0.35">
      <c r="A201" s="244"/>
      <c r="B201" s="284"/>
      <c r="C201" s="283"/>
      <c r="D201" s="283"/>
      <c r="E201" s="288"/>
      <c r="F201" s="150"/>
      <c r="H201" s="150"/>
      <c r="I201" s="150"/>
      <c r="O201" s="150"/>
    </row>
    <row r="202" spans="1:15" ht="12.75" hidden="1" customHeight="1" x14ac:dyDescent="0.35">
      <c r="A202" s="244"/>
      <c r="B202" s="285"/>
      <c r="C202" s="288"/>
      <c r="D202" s="286"/>
      <c r="E202" s="288"/>
      <c r="F202" s="150"/>
      <c r="H202" s="150"/>
      <c r="I202" s="150"/>
      <c r="O202" s="150"/>
    </row>
    <row r="203" spans="1:15" ht="12.75" hidden="1" customHeight="1" x14ac:dyDescent="0.35">
      <c r="A203" s="244"/>
      <c r="B203" s="284"/>
      <c r="C203" s="283"/>
      <c r="D203" s="283"/>
      <c r="E203" s="288"/>
      <c r="F203" s="150"/>
      <c r="H203" s="150"/>
      <c r="I203" s="150"/>
      <c r="O203" s="150"/>
    </row>
    <row r="204" spans="1:15" ht="12.75" hidden="1" customHeight="1" x14ac:dyDescent="0.35">
      <c r="A204" s="244"/>
      <c r="B204" s="285"/>
      <c r="C204" s="286"/>
      <c r="D204" s="286"/>
      <c r="E204" s="288"/>
      <c r="F204" s="150"/>
      <c r="H204" s="150"/>
      <c r="I204" s="150"/>
      <c r="O204" s="150"/>
    </row>
    <row r="205" spans="1:15" ht="12.75" hidden="1" customHeight="1" x14ac:dyDescent="0.35">
      <c r="A205" s="244"/>
      <c r="B205" s="285"/>
      <c r="C205" s="286"/>
      <c r="D205" s="286"/>
      <c r="E205" s="288"/>
      <c r="F205" s="150"/>
      <c r="H205" s="150"/>
      <c r="I205" s="150"/>
      <c r="O205" s="150"/>
    </row>
    <row r="206" spans="1:15" ht="12.75" hidden="1" customHeight="1" x14ac:dyDescent="0.35">
      <c r="A206" s="244"/>
      <c r="B206" s="284"/>
      <c r="C206" s="286"/>
      <c r="D206" s="283"/>
      <c r="E206" s="288"/>
      <c r="F206" s="150"/>
      <c r="H206" s="150"/>
      <c r="I206" s="150"/>
      <c r="O206" s="150"/>
    </row>
    <row r="207" spans="1:15" ht="12.75" hidden="1" customHeight="1" x14ac:dyDescent="0.35">
      <c r="A207" s="244"/>
      <c r="B207" s="285"/>
      <c r="C207" s="286"/>
      <c r="D207" s="283"/>
      <c r="E207" s="288"/>
      <c r="F207" s="150"/>
      <c r="H207" s="150"/>
      <c r="I207" s="150"/>
      <c r="O207" s="150"/>
    </row>
    <row r="208" spans="1:15" ht="12.75" hidden="1" customHeight="1" x14ac:dyDescent="0.35">
      <c r="A208" s="244"/>
      <c r="B208" s="284"/>
      <c r="C208" s="286"/>
      <c r="D208" s="283"/>
      <c r="E208" s="283"/>
      <c r="F208" s="150"/>
      <c r="H208" s="150"/>
      <c r="I208" s="150"/>
      <c r="O208" s="150"/>
    </row>
    <row r="209" spans="1:15" ht="12.75" hidden="1" customHeight="1" x14ac:dyDescent="0.35">
      <c r="A209" s="244"/>
      <c r="B209" s="284"/>
      <c r="C209" s="283"/>
      <c r="D209" s="289"/>
      <c r="E209" s="288"/>
      <c r="F209" s="150"/>
      <c r="H209" s="150"/>
      <c r="I209" s="150"/>
      <c r="O209" s="150"/>
    </row>
    <row r="210" spans="1:15" ht="12.75" hidden="1" customHeight="1" x14ac:dyDescent="0.35">
      <c r="A210" s="244"/>
      <c r="B210" s="284"/>
      <c r="C210" s="283"/>
      <c r="D210" s="289"/>
      <c r="E210" s="288"/>
      <c r="F210" s="150"/>
      <c r="H210" s="150"/>
      <c r="I210" s="150"/>
      <c r="O210" s="150"/>
    </row>
    <row r="211" spans="1:15" ht="12.75" hidden="1" customHeight="1" x14ac:dyDescent="0.35">
      <c r="B211" s="284"/>
      <c r="C211" s="283"/>
      <c r="D211" s="289"/>
      <c r="E211" s="288"/>
      <c r="F211" s="150"/>
      <c r="H211" s="150"/>
      <c r="I211" s="150"/>
      <c r="O211" s="150"/>
    </row>
    <row r="212" spans="1:15" ht="12.75" hidden="1" customHeight="1" x14ac:dyDescent="0.35">
      <c r="B212" s="284"/>
      <c r="C212" s="283"/>
      <c r="D212" s="289"/>
      <c r="E212" s="288"/>
      <c r="F212" s="150"/>
      <c r="H212" s="150"/>
      <c r="I212" s="150"/>
      <c r="O212" s="150"/>
    </row>
    <row r="213" spans="1:15" ht="12.75" hidden="1" customHeight="1" x14ac:dyDescent="0.35">
      <c r="B213" s="284"/>
      <c r="C213" s="283"/>
      <c r="D213" s="289"/>
      <c r="E213" s="288"/>
      <c r="F213" s="150"/>
      <c r="H213" s="150"/>
      <c r="I213" s="150"/>
      <c r="O213" s="150"/>
    </row>
    <row r="214" spans="1:15" ht="12.75" hidden="1" customHeight="1" x14ac:dyDescent="0.35">
      <c r="B214" s="284"/>
      <c r="C214" s="283"/>
      <c r="D214" s="289"/>
      <c r="E214" s="288"/>
      <c r="F214" s="150"/>
      <c r="H214" s="150"/>
      <c r="I214" s="150"/>
      <c r="O214" s="150"/>
    </row>
    <row r="215" spans="1:15" ht="12.75" hidden="1" customHeight="1" x14ac:dyDescent="0.35">
      <c r="B215" s="284"/>
      <c r="C215" s="283"/>
      <c r="D215" s="289"/>
      <c r="E215" s="288"/>
      <c r="F215" s="150"/>
      <c r="H215" s="150"/>
      <c r="I215" s="150"/>
      <c r="O215" s="150"/>
    </row>
    <row r="216" spans="1:15" ht="12.75" hidden="1" customHeight="1" x14ac:dyDescent="0.35">
      <c r="B216" s="284"/>
      <c r="C216" s="283"/>
      <c r="D216" s="289"/>
      <c r="E216" s="288"/>
      <c r="F216" s="150"/>
      <c r="H216" s="150"/>
      <c r="I216" s="150"/>
      <c r="O216" s="150"/>
    </row>
    <row r="217" spans="1:15" ht="12.75" hidden="1" customHeight="1" x14ac:dyDescent="0.35">
      <c r="B217" s="284"/>
      <c r="C217" s="283"/>
      <c r="D217" s="289"/>
      <c r="E217" s="288"/>
      <c r="F217" s="150"/>
      <c r="H217" s="150"/>
      <c r="I217" s="150"/>
      <c r="O217" s="150"/>
    </row>
    <row r="218" spans="1:15" ht="12.75" hidden="1" customHeight="1" x14ac:dyDescent="0.35">
      <c r="B218" s="284"/>
      <c r="C218" s="283"/>
      <c r="D218" s="289"/>
      <c r="E218" s="288"/>
      <c r="F218" s="150"/>
      <c r="H218" s="150"/>
      <c r="I218" s="150"/>
      <c r="O218" s="150"/>
    </row>
    <row r="219" spans="1:15" ht="12.75" hidden="1" customHeight="1" x14ac:dyDescent="0.35">
      <c r="B219" s="284"/>
      <c r="C219" s="283"/>
      <c r="D219" s="289"/>
      <c r="E219" s="288"/>
      <c r="F219" s="150"/>
      <c r="H219" s="150"/>
      <c r="I219" s="150"/>
      <c r="O219" s="150"/>
    </row>
    <row r="220" spans="1:15" ht="12.75" hidden="1" customHeight="1" x14ac:dyDescent="0.35">
      <c r="B220" s="284"/>
      <c r="C220" s="283"/>
      <c r="D220" s="289"/>
      <c r="E220" s="288"/>
      <c r="F220" s="150"/>
      <c r="H220" s="150"/>
      <c r="I220" s="150"/>
      <c r="O220" s="150"/>
    </row>
    <row r="221" spans="1:15" ht="12.75" hidden="1" customHeight="1" x14ac:dyDescent="0.35">
      <c r="B221" s="150"/>
      <c r="C221" s="150"/>
      <c r="D221" s="150"/>
      <c r="E221" s="150"/>
      <c r="F221" s="150"/>
      <c r="H221" s="150"/>
      <c r="I221" s="150"/>
      <c r="O221" s="150"/>
    </row>
    <row r="222" spans="1:15" ht="12.75" hidden="1" customHeight="1" x14ac:dyDescent="0.35">
      <c r="B222" s="150"/>
      <c r="C222" s="150"/>
      <c r="D222" s="150"/>
      <c r="E222" s="150"/>
      <c r="F222" s="150"/>
      <c r="H222" s="150"/>
      <c r="I222" s="150"/>
      <c r="O222" s="150"/>
    </row>
    <row r="223" spans="1:15" ht="12.75" hidden="1" customHeight="1" x14ac:dyDescent="0.35">
      <c r="B223" s="150"/>
      <c r="C223" s="150"/>
      <c r="D223" s="150"/>
      <c r="E223" s="150"/>
      <c r="F223" s="150"/>
      <c r="H223" s="150"/>
      <c r="I223" s="150"/>
      <c r="O223" s="150"/>
    </row>
    <row r="224" spans="1:15" ht="12.75" hidden="1" customHeight="1" x14ac:dyDescent="0.35">
      <c r="B224" s="150"/>
      <c r="C224" s="150"/>
      <c r="D224" s="150"/>
      <c r="E224" s="150"/>
      <c r="F224" s="150"/>
      <c r="H224" s="150"/>
      <c r="I224" s="150"/>
      <c r="O224" s="150"/>
    </row>
    <row r="225" spans="2:15" ht="12.75" hidden="1" customHeight="1" x14ac:dyDescent="0.35">
      <c r="B225" s="150"/>
      <c r="C225" s="150"/>
      <c r="D225" s="150"/>
      <c r="E225" s="150"/>
      <c r="F225" s="150"/>
      <c r="H225" s="150"/>
      <c r="I225" s="150"/>
      <c r="O225" s="150"/>
    </row>
    <row r="226" spans="2:15" ht="12.75" hidden="1" customHeight="1" x14ac:dyDescent="0.35">
      <c r="B226" s="150"/>
      <c r="C226" s="150"/>
      <c r="D226" s="150"/>
      <c r="E226" s="150"/>
      <c r="F226" s="150"/>
      <c r="H226" s="150"/>
      <c r="I226" s="150"/>
      <c r="O226" s="150"/>
    </row>
    <row r="227" spans="2:15" ht="12.75" hidden="1" customHeight="1" x14ac:dyDescent="0.35">
      <c r="B227" s="150"/>
      <c r="C227" s="150"/>
      <c r="D227" s="150"/>
      <c r="E227" s="150"/>
      <c r="F227" s="150"/>
      <c r="H227" s="150"/>
      <c r="I227" s="150"/>
      <c r="O227" s="150"/>
    </row>
    <row r="228" spans="2:15" ht="12.75" hidden="1" customHeight="1" x14ac:dyDescent="0.35">
      <c r="B228" s="150"/>
      <c r="C228" s="150"/>
      <c r="D228" s="150"/>
      <c r="E228" s="150"/>
      <c r="F228" s="150"/>
      <c r="H228" s="150"/>
      <c r="I228" s="150"/>
      <c r="O228" s="150"/>
    </row>
    <row r="229" spans="2:15" ht="12.75" hidden="1" customHeight="1" x14ac:dyDescent="0.35">
      <c r="B229" s="150"/>
      <c r="C229" s="150"/>
      <c r="D229" s="150"/>
      <c r="E229" s="150"/>
      <c r="F229" s="150"/>
      <c r="H229" s="150"/>
      <c r="I229" s="150"/>
      <c r="O229" s="150"/>
    </row>
    <row r="230" spans="2:15" ht="12.75" hidden="1" customHeight="1" x14ac:dyDescent="0.35">
      <c r="B230" s="150"/>
      <c r="C230" s="150"/>
      <c r="D230" s="150"/>
      <c r="E230" s="150"/>
      <c r="F230" s="150"/>
      <c r="H230" s="150"/>
      <c r="I230" s="150"/>
      <c r="O230" s="150"/>
    </row>
    <row r="231" spans="2:15" ht="12.75" hidden="1" customHeight="1" x14ac:dyDescent="0.35">
      <c r="B231" s="150"/>
      <c r="C231" s="150"/>
      <c r="D231" s="150"/>
      <c r="E231" s="150"/>
      <c r="F231" s="150"/>
      <c r="H231" s="150"/>
      <c r="I231" s="150"/>
      <c r="O231" s="150"/>
    </row>
    <row r="232" spans="2:15" ht="12.75" hidden="1" customHeight="1" x14ac:dyDescent="0.35">
      <c r="B232" s="150"/>
      <c r="C232" s="150"/>
      <c r="D232" s="150"/>
      <c r="E232" s="150"/>
      <c r="F232" s="150"/>
      <c r="H232" s="150"/>
      <c r="I232" s="150"/>
      <c r="O232" s="150"/>
    </row>
    <row r="233" spans="2:15" ht="12.75" hidden="1" customHeight="1" x14ac:dyDescent="0.35">
      <c r="B233" s="150"/>
      <c r="C233" s="150"/>
      <c r="D233" s="150"/>
      <c r="E233" s="150"/>
      <c r="F233" s="150"/>
      <c r="H233" s="150"/>
      <c r="I233" s="150"/>
      <c r="O233" s="150"/>
    </row>
    <row r="234" spans="2:15" ht="12.75" hidden="1" customHeight="1" x14ac:dyDescent="0.35">
      <c r="B234" s="150"/>
      <c r="C234" s="150"/>
      <c r="D234" s="150"/>
      <c r="E234" s="150"/>
      <c r="F234" s="150"/>
      <c r="H234" s="150"/>
      <c r="I234" s="150"/>
      <c r="O234" s="150"/>
    </row>
    <row r="235" spans="2:15" ht="12.75" hidden="1" customHeight="1" x14ac:dyDescent="0.35">
      <c r="B235" s="150"/>
      <c r="C235" s="150"/>
      <c r="D235" s="150"/>
      <c r="E235" s="150"/>
      <c r="F235" s="150"/>
      <c r="H235" s="150"/>
      <c r="I235" s="150"/>
      <c r="O235" s="150"/>
    </row>
    <row r="236" spans="2:15" ht="12.75" hidden="1" customHeight="1" x14ac:dyDescent="0.35">
      <c r="B236" s="150"/>
      <c r="C236" s="150"/>
      <c r="D236" s="150"/>
      <c r="E236" s="150"/>
      <c r="F236" s="150"/>
      <c r="H236" s="150"/>
      <c r="I236" s="150"/>
      <c r="O236" s="150"/>
    </row>
    <row r="237" spans="2:15" ht="12.75" hidden="1" customHeight="1" x14ac:dyDescent="0.35">
      <c r="B237" s="150"/>
      <c r="C237" s="150"/>
      <c r="D237" s="150"/>
      <c r="E237" s="150"/>
      <c r="F237" s="150"/>
      <c r="H237" s="150"/>
      <c r="I237" s="150"/>
      <c r="O237" s="150"/>
    </row>
    <row r="238" spans="2:15" ht="12.75" hidden="1" customHeight="1" x14ac:dyDescent="0.35">
      <c r="B238" s="150"/>
      <c r="C238" s="150"/>
      <c r="D238" s="150"/>
      <c r="E238" s="150"/>
      <c r="F238" s="150"/>
      <c r="H238" s="150"/>
      <c r="I238" s="150"/>
      <c r="O238" s="150"/>
    </row>
    <row r="239" spans="2:15" ht="12.75" hidden="1" customHeight="1" x14ac:dyDescent="0.35">
      <c r="B239" s="150"/>
      <c r="C239" s="150"/>
      <c r="D239" s="150"/>
      <c r="E239" s="150"/>
      <c r="F239" s="150"/>
      <c r="H239" s="150"/>
      <c r="I239" s="150"/>
      <c r="O239" s="150"/>
    </row>
    <row r="240" spans="2:15" ht="12.75" hidden="1" customHeight="1" x14ac:dyDescent="0.35">
      <c r="B240" s="150"/>
      <c r="C240" s="150"/>
      <c r="D240" s="150"/>
      <c r="E240" s="150"/>
      <c r="F240" s="150"/>
      <c r="H240" s="150"/>
      <c r="I240" s="150"/>
      <c r="O240" s="150"/>
    </row>
    <row r="241" spans="2:15" ht="12.75" hidden="1" customHeight="1" x14ac:dyDescent="0.35">
      <c r="B241" s="150"/>
      <c r="C241" s="150"/>
      <c r="D241" s="150"/>
      <c r="E241" s="150"/>
      <c r="F241" s="150"/>
      <c r="H241" s="150"/>
      <c r="I241" s="150"/>
      <c r="O241" s="150"/>
    </row>
    <row r="242" spans="2:15" ht="12.75" hidden="1" customHeight="1" x14ac:dyDescent="0.35">
      <c r="B242" s="150"/>
      <c r="C242" s="150"/>
      <c r="D242" s="150"/>
      <c r="E242" s="150"/>
      <c r="F242" s="150"/>
      <c r="H242" s="150"/>
      <c r="I242" s="150"/>
      <c r="O242" s="150"/>
    </row>
    <row r="243" spans="2:15" ht="12.75" hidden="1" customHeight="1" x14ac:dyDescent="0.35">
      <c r="B243" s="150"/>
      <c r="C243" s="150"/>
      <c r="D243" s="150"/>
      <c r="E243" s="150"/>
      <c r="F243" s="150"/>
      <c r="H243" s="150"/>
      <c r="I243" s="150"/>
      <c r="O243" s="150"/>
    </row>
    <row r="244" spans="2:15" ht="12.75" hidden="1" customHeight="1" x14ac:dyDescent="0.35">
      <c r="B244" s="150"/>
      <c r="C244" s="150"/>
      <c r="D244" s="150"/>
      <c r="E244" s="150"/>
      <c r="F244" s="150"/>
      <c r="H244" s="150"/>
      <c r="I244" s="150"/>
      <c r="O244" s="150"/>
    </row>
    <row r="245" spans="2:15" ht="12.75" hidden="1" customHeight="1" x14ac:dyDescent="0.35">
      <c r="B245" s="150"/>
      <c r="C245" s="150"/>
      <c r="D245" s="150"/>
      <c r="E245" s="150"/>
      <c r="F245" s="150"/>
      <c r="H245" s="150"/>
      <c r="I245" s="150"/>
      <c r="O245" s="150"/>
    </row>
    <row r="246" spans="2:15" ht="12.75" hidden="1" customHeight="1" x14ac:dyDescent="0.35">
      <c r="B246" s="150"/>
      <c r="C246" s="150"/>
      <c r="D246" s="150"/>
      <c r="E246" s="150"/>
      <c r="F246" s="150"/>
      <c r="H246" s="150"/>
      <c r="I246" s="150"/>
      <c r="O246" s="150"/>
    </row>
    <row r="247" spans="2:15" ht="12.75" hidden="1" customHeight="1" x14ac:dyDescent="0.35">
      <c r="B247" s="150"/>
      <c r="C247" s="150"/>
      <c r="D247" s="150"/>
      <c r="E247" s="150"/>
      <c r="F247" s="150"/>
      <c r="H247" s="150"/>
      <c r="I247" s="150"/>
      <c r="O247" s="150"/>
    </row>
    <row r="248" spans="2:15" ht="12.75" hidden="1" customHeight="1" x14ac:dyDescent="0.35">
      <c r="B248" s="150"/>
      <c r="C248" s="150"/>
      <c r="D248" s="150"/>
      <c r="E248" s="150"/>
      <c r="F248" s="150"/>
      <c r="H248" s="150"/>
      <c r="I248" s="150"/>
      <c r="O248" s="150"/>
    </row>
    <row r="249" spans="2:15" ht="12.75" hidden="1" customHeight="1" x14ac:dyDescent="0.35">
      <c r="B249" s="150"/>
      <c r="C249" s="150"/>
      <c r="D249" s="150"/>
      <c r="E249" s="150"/>
      <c r="F249" s="150"/>
      <c r="H249" s="150"/>
      <c r="I249" s="150"/>
      <c r="O249" s="150"/>
    </row>
    <row r="250" spans="2:15" ht="12.75" hidden="1" customHeight="1" x14ac:dyDescent="0.35">
      <c r="B250" s="150"/>
      <c r="C250" s="150"/>
      <c r="D250" s="150"/>
      <c r="E250" s="150"/>
      <c r="F250" s="150"/>
      <c r="H250" s="150"/>
      <c r="I250" s="150"/>
      <c r="O250" s="150"/>
    </row>
    <row r="251" spans="2:15" ht="12.75" hidden="1" customHeight="1" x14ac:dyDescent="0.35">
      <c r="B251" s="150"/>
      <c r="C251" s="150"/>
      <c r="D251" s="150"/>
      <c r="E251" s="150"/>
      <c r="F251" s="150"/>
      <c r="H251" s="150"/>
      <c r="I251" s="150"/>
      <c r="O251" s="150"/>
    </row>
    <row r="252" spans="2:15" ht="12.75" hidden="1" customHeight="1" x14ac:dyDescent="0.35">
      <c r="B252" s="150"/>
      <c r="C252" s="150"/>
      <c r="D252" s="150"/>
      <c r="E252" s="150"/>
      <c r="F252" s="150"/>
      <c r="H252" s="150"/>
      <c r="I252" s="150"/>
      <c r="O252" s="150"/>
    </row>
    <row r="253" spans="2:15" ht="12.75" hidden="1" customHeight="1" x14ac:dyDescent="0.35">
      <c r="B253" s="150"/>
      <c r="C253" s="150"/>
      <c r="D253" s="150"/>
      <c r="E253" s="150"/>
      <c r="F253" s="150"/>
      <c r="H253" s="150"/>
      <c r="I253" s="150"/>
      <c r="O253" s="150"/>
    </row>
    <row r="254" spans="2:15" ht="12.75" hidden="1" customHeight="1" x14ac:dyDescent="0.35">
      <c r="B254" s="150"/>
      <c r="C254" s="150"/>
      <c r="D254" s="150"/>
      <c r="E254" s="150"/>
      <c r="F254" s="150"/>
      <c r="H254" s="150"/>
      <c r="I254" s="150"/>
      <c r="O254" s="150"/>
    </row>
    <row r="255" spans="2:15" ht="12.75" hidden="1" customHeight="1" x14ac:dyDescent="0.35">
      <c r="B255" s="150"/>
      <c r="C255" s="150"/>
      <c r="D255" s="150"/>
      <c r="E255" s="150"/>
      <c r="F255" s="150"/>
      <c r="H255" s="150"/>
      <c r="I255" s="150"/>
      <c r="O255" s="150"/>
    </row>
    <row r="256" spans="2:15" ht="12.75" hidden="1" customHeight="1" x14ac:dyDescent="0.35">
      <c r="B256" s="150"/>
      <c r="C256" s="150"/>
      <c r="D256" s="150"/>
      <c r="E256" s="150"/>
      <c r="F256" s="150"/>
      <c r="H256" s="150"/>
      <c r="I256" s="150"/>
      <c r="O256" s="150"/>
    </row>
    <row r="257" spans="2:15" ht="12.75" hidden="1" customHeight="1" x14ac:dyDescent="0.35">
      <c r="B257" s="150"/>
      <c r="C257" s="150"/>
      <c r="D257" s="150"/>
      <c r="E257" s="150"/>
      <c r="F257" s="150"/>
      <c r="H257" s="150"/>
      <c r="I257" s="150"/>
      <c r="O257" s="150"/>
    </row>
    <row r="258" spans="2:15" ht="12.75" hidden="1" customHeight="1" x14ac:dyDescent="0.35">
      <c r="B258" s="150"/>
      <c r="C258" s="150"/>
      <c r="D258" s="150"/>
      <c r="E258" s="150"/>
      <c r="F258" s="150"/>
      <c r="H258" s="150"/>
      <c r="I258" s="150"/>
      <c r="O258" s="150"/>
    </row>
    <row r="259" spans="2:15" ht="12.75" hidden="1" customHeight="1" x14ac:dyDescent="0.35">
      <c r="B259" s="150"/>
      <c r="C259" s="150"/>
      <c r="D259" s="150"/>
      <c r="E259" s="150"/>
      <c r="F259" s="150"/>
      <c r="H259" s="150"/>
      <c r="I259" s="150"/>
      <c r="O259" s="150"/>
    </row>
    <row r="260" spans="2:15" ht="12.75" hidden="1" customHeight="1" x14ac:dyDescent="0.35">
      <c r="B260" s="150"/>
      <c r="C260" s="150"/>
      <c r="D260" s="150"/>
      <c r="E260" s="150"/>
      <c r="F260" s="150"/>
      <c r="H260" s="150"/>
      <c r="I260" s="150"/>
      <c r="O260" s="150"/>
    </row>
    <row r="261" spans="2:15" ht="12.75" hidden="1" customHeight="1" x14ac:dyDescent="0.35">
      <c r="B261" s="150"/>
      <c r="C261" s="150"/>
      <c r="D261" s="150"/>
      <c r="E261" s="150"/>
      <c r="F261" s="150"/>
      <c r="H261" s="150"/>
      <c r="I261" s="150"/>
      <c r="O261" s="150"/>
    </row>
    <row r="262" spans="2:15" ht="12.75" hidden="1" customHeight="1" x14ac:dyDescent="0.35">
      <c r="B262" s="150"/>
      <c r="C262" s="150"/>
      <c r="D262" s="150"/>
      <c r="E262" s="150"/>
      <c r="F262" s="150"/>
      <c r="H262" s="150"/>
      <c r="I262" s="150"/>
      <c r="O262" s="150"/>
    </row>
    <row r="263" spans="2:15" ht="12.75" hidden="1" customHeight="1" x14ac:dyDescent="0.35">
      <c r="B263" s="150"/>
      <c r="C263" s="150"/>
      <c r="D263" s="150"/>
      <c r="E263" s="150"/>
      <c r="F263" s="150"/>
      <c r="H263" s="150"/>
      <c r="I263" s="150"/>
      <c r="O263" s="150"/>
    </row>
    <row r="264" spans="2:15" ht="12.75" hidden="1" customHeight="1" x14ac:dyDescent="0.35">
      <c r="B264" s="150"/>
      <c r="C264" s="150"/>
      <c r="D264" s="150"/>
      <c r="E264" s="150"/>
      <c r="F264" s="150"/>
      <c r="H264" s="150"/>
      <c r="I264" s="150"/>
      <c r="O264" s="150"/>
    </row>
    <row r="265" spans="2:15" ht="12.75" hidden="1" customHeight="1" x14ac:dyDescent="0.35">
      <c r="B265" s="150"/>
      <c r="C265" s="150"/>
      <c r="D265" s="150"/>
      <c r="E265" s="150"/>
      <c r="F265" s="150"/>
      <c r="H265" s="150"/>
      <c r="I265" s="150"/>
      <c r="O265" s="150"/>
    </row>
    <row r="266" spans="2:15" ht="12.75" hidden="1" customHeight="1" x14ac:dyDescent="0.35">
      <c r="B266" s="150"/>
      <c r="C266" s="150"/>
      <c r="D266" s="150"/>
      <c r="E266" s="150"/>
      <c r="F266" s="150"/>
      <c r="H266" s="150"/>
      <c r="I266" s="150"/>
      <c r="O266" s="150"/>
    </row>
    <row r="267" spans="2:15" ht="12.75" hidden="1" customHeight="1" x14ac:dyDescent="0.35">
      <c r="B267" s="150"/>
      <c r="C267" s="150"/>
      <c r="D267" s="150"/>
      <c r="E267" s="150"/>
      <c r="F267" s="150"/>
      <c r="H267" s="150"/>
      <c r="I267" s="150"/>
      <c r="O267" s="150"/>
    </row>
    <row r="268" spans="2:15" ht="12.75" hidden="1" customHeight="1" x14ac:dyDescent="0.35">
      <c r="B268" s="150"/>
      <c r="C268" s="150"/>
      <c r="D268" s="150"/>
      <c r="E268" s="150"/>
      <c r="F268" s="150"/>
      <c r="H268" s="150"/>
      <c r="I268" s="150"/>
      <c r="O268" s="150"/>
    </row>
    <row r="269" spans="2:15" ht="12.75" hidden="1" customHeight="1" x14ac:dyDescent="0.35">
      <c r="B269" s="150"/>
      <c r="C269" s="150"/>
      <c r="D269" s="150"/>
      <c r="E269" s="150"/>
      <c r="F269" s="150"/>
      <c r="H269" s="150"/>
      <c r="I269" s="150"/>
      <c r="O269" s="150"/>
    </row>
    <row r="270" spans="2:15" ht="12.75" hidden="1" customHeight="1" x14ac:dyDescent="0.35">
      <c r="B270" s="150"/>
      <c r="C270" s="150"/>
      <c r="D270" s="150"/>
      <c r="E270" s="150"/>
      <c r="F270" s="150"/>
      <c r="H270" s="150"/>
      <c r="I270" s="150"/>
      <c r="O270" s="150"/>
    </row>
    <row r="271" spans="2:15" ht="12.75" hidden="1" customHeight="1" x14ac:dyDescent="0.35">
      <c r="B271" s="150"/>
      <c r="C271" s="150"/>
      <c r="D271" s="150"/>
      <c r="E271" s="150"/>
      <c r="F271" s="150"/>
      <c r="H271" s="150"/>
      <c r="I271" s="150"/>
      <c r="O271" s="150"/>
    </row>
    <row r="272" spans="2:15" ht="12.75" hidden="1" customHeight="1" x14ac:dyDescent="0.35">
      <c r="B272" s="150"/>
      <c r="C272" s="150"/>
      <c r="D272" s="150"/>
      <c r="E272" s="150"/>
      <c r="F272" s="150"/>
      <c r="H272" s="150"/>
      <c r="I272" s="150"/>
      <c r="O272" s="150"/>
    </row>
    <row r="273" spans="2:15" ht="12.75" hidden="1" customHeight="1" x14ac:dyDescent="0.35">
      <c r="B273" s="150"/>
      <c r="C273" s="150"/>
      <c r="D273" s="150"/>
      <c r="E273" s="150"/>
      <c r="F273" s="150"/>
      <c r="H273" s="150"/>
      <c r="I273" s="150"/>
      <c r="O273" s="150"/>
    </row>
    <row r="274" spans="2:15" ht="12.75" hidden="1" customHeight="1" x14ac:dyDescent="0.35">
      <c r="B274" s="150"/>
      <c r="C274" s="150"/>
      <c r="D274" s="150"/>
      <c r="E274" s="150"/>
      <c r="F274" s="150"/>
      <c r="H274" s="150"/>
      <c r="I274" s="150"/>
      <c r="O274" s="150"/>
    </row>
    <row r="275" spans="2:15" ht="12.75" hidden="1" customHeight="1" x14ac:dyDescent="0.35">
      <c r="B275" s="150"/>
      <c r="C275" s="150"/>
      <c r="D275" s="150"/>
      <c r="E275" s="150"/>
      <c r="F275" s="150"/>
      <c r="H275" s="150"/>
      <c r="I275" s="150"/>
      <c r="O275" s="150"/>
    </row>
    <row r="276" spans="2:15" ht="12.75" hidden="1" customHeight="1" x14ac:dyDescent="0.35">
      <c r="B276" s="150"/>
      <c r="C276" s="150"/>
      <c r="D276" s="150"/>
      <c r="E276" s="150"/>
      <c r="F276" s="150"/>
      <c r="H276" s="150"/>
      <c r="I276" s="150"/>
      <c r="O276" s="150"/>
    </row>
    <row r="277" spans="2:15" ht="12.75" hidden="1" customHeight="1" x14ac:dyDescent="0.35">
      <c r="B277" s="150"/>
      <c r="C277" s="150"/>
      <c r="D277" s="150"/>
      <c r="E277" s="150"/>
      <c r="F277" s="150"/>
      <c r="H277" s="150"/>
      <c r="I277" s="150"/>
      <c r="O277" s="150"/>
    </row>
    <row r="278" spans="2:15" ht="12.75" hidden="1" customHeight="1" x14ac:dyDescent="0.35">
      <c r="B278" s="150"/>
      <c r="C278" s="150"/>
      <c r="D278" s="150"/>
      <c r="E278" s="150"/>
      <c r="F278" s="150"/>
      <c r="H278" s="150"/>
      <c r="I278" s="150"/>
      <c r="O278" s="150"/>
    </row>
    <row r="279" spans="2:15" ht="12.75" hidden="1" customHeight="1" x14ac:dyDescent="0.35">
      <c r="B279" s="150"/>
      <c r="C279" s="150"/>
      <c r="D279" s="150"/>
      <c r="E279" s="150"/>
      <c r="F279" s="150"/>
      <c r="H279" s="150"/>
      <c r="I279" s="150"/>
      <c r="O279" s="150"/>
    </row>
    <row r="280" spans="2:15" ht="12.75" hidden="1" customHeight="1" x14ac:dyDescent="0.35">
      <c r="B280" s="150"/>
      <c r="C280" s="150"/>
      <c r="D280" s="150"/>
      <c r="E280" s="150"/>
      <c r="F280" s="150"/>
      <c r="H280" s="150"/>
      <c r="I280" s="150"/>
      <c r="O280" s="150"/>
    </row>
    <row r="281" spans="2:15" ht="12.75" hidden="1" customHeight="1" x14ac:dyDescent="0.35">
      <c r="B281" s="150"/>
      <c r="C281" s="150"/>
      <c r="D281" s="150"/>
      <c r="E281" s="150"/>
      <c r="F281" s="150"/>
      <c r="H281" s="150"/>
      <c r="I281" s="150"/>
      <c r="O281" s="150"/>
    </row>
    <row r="282" spans="2:15" ht="12.75" hidden="1" customHeight="1" x14ac:dyDescent="0.35">
      <c r="B282" s="150"/>
      <c r="C282" s="150"/>
      <c r="D282" s="150"/>
      <c r="E282" s="150"/>
      <c r="F282" s="150"/>
      <c r="H282" s="150"/>
      <c r="I282" s="150"/>
      <c r="O282" s="150"/>
    </row>
    <row r="283" spans="2:15" ht="12.75" hidden="1" customHeight="1" x14ac:dyDescent="0.35">
      <c r="B283" s="150"/>
      <c r="C283" s="150"/>
      <c r="D283" s="150"/>
      <c r="E283" s="150"/>
      <c r="F283" s="150"/>
      <c r="H283" s="150"/>
      <c r="I283" s="150"/>
      <c r="O283" s="150"/>
    </row>
    <row r="284" spans="2:15" ht="12.75" hidden="1" customHeight="1" x14ac:dyDescent="0.35">
      <c r="B284" s="150"/>
      <c r="C284" s="150"/>
      <c r="D284" s="150"/>
      <c r="E284" s="150"/>
      <c r="F284" s="150"/>
      <c r="H284" s="150"/>
      <c r="I284" s="150"/>
      <c r="O284" s="150"/>
    </row>
    <row r="285" spans="2:15" ht="12.75" hidden="1" customHeight="1" x14ac:dyDescent="0.35">
      <c r="B285" s="150"/>
      <c r="C285" s="150"/>
      <c r="D285" s="150"/>
      <c r="E285" s="150"/>
      <c r="F285" s="150"/>
      <c r="H285" s="150"/>
      <c r="I285" s="150"/>
      <c r="O285" s="150"/>
    </row>
    <row r="286" spans="2:15" ht="12.75" hidden="1" customHeight="1" x14ac:dyDescent="0.35">
      <c r="B286" s="150"/>
      <c r="C286" s="150"/>
      <c r="D286" s="150"/>
      <c r="E286" s="150"/>
      <c r="F286" s="150"/>
      <c r="H286" s="150"/>
      <c r="I286" s="150"/>
      <c r="O286" s="150"/>
    </row>
    <row r="287" spans="2:15" ht="12.75" hidden="1" customHeight="1" x14ac:dyDescent="0.35">
      <c r="B287" s="150"/>
      <c r="C287" s="150"/>
      <c r="D287" s="150"/>
      <c r="E287" s="150"/>
      <c r="F287" s="150"/>
      <c r="H287" s="150"/>
      <c r="I287" s="150"/>
      <c r="O287" s="150"/>
    </row>
    <row r="288" spans="2:15" ht="12.75" hidden="1" customHeight="1" x14ac:dyDescent="0.35">
      <c r="B288" s="150"/>
      <c r="C288" s="150"/>
      <c r="D288" s="150"/>
      <c r="E288" s="150"/>
      <c r="F288" s="150"/>
      <c r="H288" s="150"/>
      <c r="I288" s="150"/>
      <c r="O288" s="150"/>
    </row>
    <row r="289" spans="2:15" ht="12.75" hidden="1" customHeight="1" x14ac:dyDescent="0.35">
      <c r="B289" s="150"/>
      <c r="C289" s="150"/>
      <c r="D289" s="150"/>
      <c r="E289" s="150"/>
      <c r="F289" s="150"/>
      <c r="H289" s="150"/>
      <c r="I289" s="150"/>
      <c r="O289" s="150"/>
    </row>
    <row r="290" spans="2:15" ht="12.75" hidden="1" customHeight="1" x14ac:dyDescent="0.35">
      <c r="B290" s="150"/>
      <c r="C290" s="150"/>
      <c r="D290" s="150"/>
      <c r="E290" s="150"/>
      <c r="F290" s="150"/>
      <c r="H290" s="150"/>
      <c r="I290" s="150"/>
      <c r="O290" s="150"/>
    </row>
    <row r="291" spans="2:15" ht="12.75" hidden="1" customHeight="1" x14ac:dyDescent="0.35">
      <c r="B291" s="150"/>
      <c r="C291" s="150"/>
      <c r="D291" s="150"/>
      <c r="E291" s="150"/>
      <c r="F291" s="150"/>
      <c r="H291" s="150"/>
      <c r="I291" s="150"/>
      <c r="O291" s="150"/>
    </row>
    <row r="292" spans="2:15" ht="12.75" hidden="1" customHeight="1" x14ac:dyDescent="0.35">
      <c r="B292" s="150"/>
      <c r="C292" s="150"/>
      <c r="D292" s="150"/>
      <c r="E292" s="150"/>
      <c r="F292" s="150"/>
      <c r="H292" s="150"/>
      <c r="I292" s="150"/>
      <c r="O292" s="150"/>
    </row>
    <row r="293" spans="2:15" ht="12.75" hidden="1" customHeight="1" x14ac:dyDescent="0.35">
      <c r="B293" s="150"/>
      <c r="C293" s="150"/>
      <c r="D293" s="150"/>
      <c r="E293" s="150"/>
      <c r="F293" s="150"/>
      <c r="H293" s="150"/>
      <c r="I293" s="150"/>
      <c r="O293" s="150"/>
    </row>
    <row r="294" spans="2:15" ht="12.75" hidden="1" customHeight="1" x14ac:dyDescent="0.35">
      <c r="B294" s="150"/>
      <c r="C294" s="150"/>
      <c r="D294" s="150"/>
      <c r="E294" s="150"/>
      <c r="F294" s="150"/>
      <c r="H294" s="150"/>
      <c r="I294" s="150"/>
      <c r="O294" s="150"/>
    </row>
    <row r="295" spans="2:15" ht="12.75" hidden="1" customHeight="1" x14ac:dyDescent="0.35">
      <c r="B295" s="150"/>
      <c r="C295" s="150"/>
      <c r="D295" s="150"/>
      <c r="E295" s="150"/>
      <c r="F295" s="150"/>
      <c r="H295" s="150"/>
      <c r="I295" s="150"/>
      <c r="O295" s="150"/>
    </row>
    <row r="296" spans="2:15" ht="12.75" hidden="1" customHeight="1" x14ac:dyDescent="0.35">
      <c r="B296" s="150"/>
      <c r="C296" s="150"/>
      <c r="D296" s="150"/>
      <c r="E296" s="150"/>
      <c r="F296" s="150"/>
      <c r="H296" s="150"/>
      <c r="I296" s="150"/>
      <c r="O296" s="150"/>
    </row>
    <row r="297" spans="2:15" ht="12.75" hidden="1" customHeight="1" x14ac:dyDescent="0.35">
      <c r="B297" s="150"/>
      <c r="C297" s="150"/>
      <c r="D297" s="150"/>
      <c r="E297" s="150"/>
      <c r="F297" s="150"/>
      <c r="H297" s="150"/>
      <c r="I297" s="150"/>
      <c r="O297" s="150"/>
    </row>
    <row r="298" spans="2:15" ht="12.75" hidden="1" customHeight="1" x14ac:dyDescent="0.35">
      <c r="B298" s="150"/>
      <c r="C298" s="150"/>
      <c r="D298" s="150"/>
      <c r="E298" s="150"/>
      <c r="F298" s="150"/>
      <c r="H298" s="150"/>
      <c r="I298" s="150"/>
      <c r="O298" s="150"/>
    </row>
    <row r="299" spans="2:15" ht="12.75" hidden="1" customHeight="1" x14ac:dyDescent="0.35">
      <c r="B299" s="150"/>
      <c r="C299" s="150"/>
      <c r="D299" s="150"/>
      <c r="E299" s="150"/>
      <c r="F299" s="150"/>
      <c r="H299" s="150"/>
      <c r="I299" s="150"/>
      <c r="O299" s="150"/>
    </row>
    <row r="300" spans="2:15" ht="12.75" hidden="1" customHeight="1" x14ac:dyDescent="0.35">
      <c r="B300" s="150"/>
      <c r="C300" s="150"/>
      <c r="D300" s="150"/>
      <c r="E300" s="150"/>
      <c r="F300" s="150"/>
      <c r="H300" s="150"/>
      <c r="I300" s="150"/>
      <c r="O300" s="150"/>
    </row>
    <row r="301" spans="2:15" ht="12.75" hidden="1" customHeight="1" x14ac:dyDescent="0.35">
      <c r="B301" s="150"/>
      <c r="C301" s="150"/>
      <c r="D301" s="150"/>
      <c r="E301" s="150"/>
      <c r="F301" s="150"/>
      <c r="H301" s="150"/>
      <c r="I301" s="150"/>
      <c r="O301" s="150"/>
    </row>
    <row r="302" spans="2:15" ht="12.75" hidden="1" customHeight="1" x14ac:dyDescent="0.35">
      <c r="B302" s="150"/>
      <c r="C302" s="150"/>
      <c r="D302" s="150"/>
      <c r="E302" s="150"/>
      <c r="F302" s="150"/>
      <c r="H302" s="150"/>
      <c r="I302" s="150"/>
      <c r="O302" s="150"/>
    </row>
    <row r="303" spans="2:15" ht="12.75" hidden="1" customHeight="1" x14ac:dyDescent="0.35">
      <c r="B303" s="150"/>
      <c r="C303" s="150"/>
      <c r="D303" s="150"/>
      <c r="E303" s="150"/>
      <c r="F303" s="150"/>
      <c r="H303" s="150"/>
      <c r="I303" s="150"/>
      <c r="O303" s="150"/>
    </row>
    <row r="304" spans="2:15" ht="12.75" hidden="1" customHeight="1" x14ac:dyDescent="0.35">
      <c r="B304" s="150"/>
      <c r="C304" s="150"/>
      <c r="D304" s="150"/>
      <c r="E304" s="150"/>
      <c r="F304" s="150"/>
      <c r="H304" s="150"/>
      <c r="I304" s="150"/>
      <c r="O304" s="150"/>
    </row>
    <row r="305" spans="2:15" ht="12.75" hidden="1" customHeight="1" x14ac:dyDescent="0.35">
      <c r="B305" s="150"/>
      <c r="C305" s="150"/>
      <c r="D305" s="150"/>
      <c r="E305" s="150"/>
      <c r="F305" s="150"/>
      <c r="H305" s="150"/>
      <c r="I305" s="150"/>
      <c r="O305" s="150"/>
    </row>
    <row r="306" spans="2:15" ht="12.75" hidden="1" customHeight="1" x14ac:dyDescent="0.35">
      <c r="B306" s="150"/>
      <c r="C306" s="150"/>
      <c r="D306" s="150"/>
      <c r="E306" s="150"/>
      <c r="F306" s="150"/>
      <c r="H306" s="150"/>
      <c r="I306" s="150"/>
      <c r="O306" s="150"/>
    </row>
    <row r="307" spans="2:15" ht="12.75" hidden="1" customHeight="1" x14ac:dyDescent="0.35">
      <c r="B307" s="150"/>
      <c r="C307" s="150"/>
      <c r="D307" s="150"/>
      <c r="E307" s="150"/>
      <c r="F307" s="150"/>
      <c r="H307" s="150"/>
      <c r="I307" s="150"/>
      <c r="O307" s="150"/>
    </row>
    <row r="308" spans="2:15" ht="12.75" hidden="1" customHeight="1" x14ac:dyDescent="0.35">
      <c r="B308" s="150"/>
      <c r="C308" s="150"/>
      <c r="D308" s="150"/>
      <c r="E308" s="150"/>
      <c r="F308" s="150"/>
      <c r="H308" s="150"/>
      <c r="I308" s="150"/>
      <c r="O308" s="150"/>
    </row>
    <row r="309" spans="2:15" ht="12.75" hidden="1" customHeight="1" x14ac:dyDescent="0.35">
      <c r="B309" s="150"/>
      <c r="C309" s="150"/>
      <c r="D309" s="150"/>
      <c r="E309" s="150"/>
      <c r="F309" s="150"/>
      <c r="H309" s="150"/>
      <c r="I309" s="150"/>
      <c r="O309" s="150"/>
    </row>
    <row r="310" spans="2:15" ht="12.75" hidden="1" customHeight="1" x14ac:dyDescent="0.35">
      <c r="B310" s="150"/>
      <c r="C310" s="150"/>
      <c r="D310" s="150"/>
      <c r="E310" s="150"/>
      <c r="F310" s="150"/>
      <c r="H310" s="150"/>
      <c r="I310" s="150"/>
      <c r="O310" s="150"/>
    </row>
    <row r="311" spans="2:15" ht="12.75" hidden="1" customHeight="1" x14ac:dyDescent="0.35">
      <c r="B311" s="150"/>
      <c r="C311" s="150"/>
      <c r="D311" s="150"/>
      <c r="E311" s="150"/>
      <c r="F311" s="150"/>
      <c r="H311" s="150"/>
      <c r="I311" s="150"/>
      <c r="O311" s="150"/>
    </row>
    <row r="312" spans="2:15" ht="12.75" hidden="1" customHeight="1" x14ac:dyDescent="0.35">
      <c r="B312" s="150"/>
      <c r="C312" s="150"/>
      <c r="D312" s="150"/>
      <c r="E312" s="150"/>
      <c r="F312" s="150"/>
      <c r="H312" s="150"/>
      <c r="I312" s="150"/>
      <c r="O312" s="150"/>
    </row>
    <row r="313" spans="2:15" ht="12.75" hidden="1" customHeight="1" x14ac:dyDescent="0.35">
      <c r="B313" s="150"/>
      <c r="C313" s="150"/>
      <c r="D313" s="150"/>
      <c r="E313" s="150"/>
      <c r="F313" s="150"/>
      <c r="H313" s="150"/>
      <c r="I313" s="150"/>
      <c r="O313" s="150"/>
    </row>
    <row r="314" spans="2:15" ht="12.75" hidden="1" customHeight="1" x14ac:dyDescent="0.35">
      <c r="B314" s="150"/>
      <c r="C314" s="150"/>
      <c r="D314" s="150"/>
      <c r="E314" s="150"/>
      <c r="F314" s="150"/>
      <c r="H314" s="150"/>
      <c r="I314" s="150"/>
      <c r="O314" s="150"/>
    </row>
    <row r="315" spans="2:15" ht="12.75" hidden="1" customHeight="1" x14ac:dyDescent="0.35">
      <c r="B315" s="150"/>
      <c r="C315" s="150"/>
      <c r="D315" s="150"/>
      <c r="E315" s="150"/>
      <c r="F315" s="150"/>
      <c r="H315" s="150"/>
      <c r="I315" s="150"/>
      <c r="O315" s="150"/>
    </row>
    <row r="316" spans="2:15" ht="12.75" hidden="1" customHeight="1" x14ac:dyDescent="0.35">
      <c r="B316" s="150"/>
      <c r="C316" s="150"/>
      <c r="D316" s="150"/>
      <c r="E316" s="150"/>
      <c r="F316" s="150"/>
      <c r="H316" s="150"/>
      <c r="I316" s="150"/>
      <c r="O316" s="150"/>
    </row>
    <row r="317" spans="2:15" ht="12.75" hidden="1" customHeight="1" x14ac:dyDescent="0.35">
      <c r="B317" s="150"/>
      <c r="C317" s="150"/>
      <c r="D317" s="150"/>
      <c r="E317" s="150"/>
      <c r="F317" s="150"/>
      <c r="H317" s="150"/>
      <c r="I317" s="150"/>
      <c r="O317" s="150"/>
    </row>
    <row r="318" spans="2:15" ht="12.75" hidden="1" customHeight="1" x14ac:dyDescent="0.35">
      <c r="B318" s="150"/>
      <c r="C318" s="150"/>
      <c r="D318" s="150"/>
      <c r="E318" s="150"/>
      <c r="F318" s="150"/>
      <c r="H318" s="150"/>
      <c r="I318" s="150"/>
      <c r="O318" s="150"/>
    </row>
    <row r="319" spans="2:15" ht="12.75" hidden="1" customHeight="1" x14ac:dyDescent="0.35">
      <c r="B319" s="150"/>
      <c r="C319" s="150"/>
      <c r="D319" s="150"/>
      <c r="E319" s="150"/>
      <c r="F319" s="150"/>
      <c r="H319" s="150"/>
      <c r="I319" s="150"/>
      <c r="O319" s="150"/>
    </row>
    <row r="320" spans="2:15" ht="12.75" hidden="1" customHeight="1" x14ac:dyDescent="0.35">
      <c r="B320" s="150"/>
      <c r="C320" s="150"/>
      <c r="D320" s="150"/>
      <c r="E320" s="150"/>
      <c r="F320" s="150"/>
      <c r="H320" s="150"/>
      <c r="I320" s="150"/>
      <c r="O320" s="150"/>
    </row>
    <row r="321" spans="2:15" ht="12.75" hidden="1" customHeight="1" x14ac:dyDescent="0.35">
      <c r="B321" s="150"/>
      <c r="C321" s="150"/>
      <c r="D321" s="150"/>
      <c r="E321" s="150"/>
      <c r="F321" s="150"/>
      <c r="H321" s="150"/>
      <c r="I321" s="150"/>
      <c r="O321" s="150"/>
    </row>
    <row r="322" spans="2:15" ht="12.75" hidden="1" customHeight="1" x14ac:dyDescent="0.35">
      <c r="B322" s="150"/>
      <c r="C322" s="150"/>
      <c r="D322" s="150"/>
      <c r="E322" s="150"/>
      <c r="F322" s="150"/>
      <c r="H322" s="150"/>
      <c r="I322" s="150"/>
      <c r="O322" s="150"/>
    </row>
    <row r="323" spans="2:15" ht="12.75" hidden="1" customHeight="1" x14ac:dyDescent="0.35">
      <c r="B323" s="150"/>
      <c r="C323" s="150"/>
      <c r="D323" s="150"/>
      <c r="E323" s="150"/>
      <c r="F323" s="150"/>
      <c r="H323" s="150"/>
      <c r="I323" s="150"/>
      <c r="O323" s="150"/>
    </row>
    <row r="324" spans="2:15" ht="12.75" hidden="1" customHeight="1" x14ac:dyDescent="0.35">
      <c r="B324" s="150"/>
      <c r="C324" s="150"/>
      <c r="D324" s="150"/>
      <c r="E324" s="150"/>
      <c r="F324" s="150"/>
      <c r="H324" s="150"/>
      <c r="I324" s="150"/>
      <c r="O324" s="150"/>
    </row>
    <row r="325" spans="2:15" ht="12.75" hidden="1" customHeight="1" x14ac:dyDescent="0.35">
      <c r="B325" s="150"/>
      <c r="C325" s="150"/>
      <c r="D325" s="150"/>
      <c r="E325" s="150"/>
      <c r="F325" s="150"/>
      <c r="H325" s="150"/>
      <c r="I325" s="150"/>
      <c r="O325" s="150"/>
    </row>
    <row r="326" spans="2:15" ht="12.75" hidden="1" customHeight="1" x14ac:dyDescent="0.35">
      <c r="B326" s="150"/>
      <c r="C326" s="150"/>
      <c r="D326" s="150"/>
      <c r="E326" s="150"/>
      <c r="F326" s="150"/>
      <c r="H326" s="150"/>
      <c r="I326" s="150"/>
      <c r="O326" s="150"/>
    </row>
    <row r="327" spans="2:15" ht="12.75" hidden="1" customHeight="1" x14ac:dyDescent="0.35">
      <c r="B327" s="150"/>
      <c r="C327" s="150"/>
      <c r="D327" s="150"/>
      <c r="E327" s="150"/>
      <c r="F327" s="150"/>
      <c r="H327" s="150"/>
      <c r="I327" s="150"/>
      <c r="O327" s="150"/>
    </row>
    <row r="328" spans="2:15" ht="12.75" hidden="1" customHeight="1" x14ac:dyDescent="0.35">
      <c r="B328" s="150"/>
      <c r="C328" s="150"/>
      <c r="D328" s="150"/>
      <c r="E328" s="150"/>
      <c r="F328" s="150"/>
      <c r="H328" s="150"/>
      <c r="I328" s="150"/>
      <c r="O328" s="150"/>
    </row>
    <row r="329" spans="2:15" ht="12.75" hidden="1" customHeight="1" x14ac:dyDescent="0.35">
      <c r="B329" s="150"/>
      <c r="C329" s="150"/>
      <c r="D329" s="150"/>
      <c r="E329" s="150"/>
      <c r="F329" s="150"/>
      <c r="H329" s="150"/>
      <c r="I329" s="150"/>
      <c r="O329" s="150"/>
    </row>
    <row r="330" spans="2:15" ht="12.75" hidden="1" customHeight="1" x14ac:dyDescent="0.35">
      <c r="B330" s="150"/>
      <c r="C330" s="150"/>
      <c r="D330" s="150"/>
      <c r="E330" s="150"/>
      <c r="F330" s="150"/>
      <c r="H330" s="150"/>
      <c r="I330" s="150"/>
      <c r="O330" s="150"/>
    </row>
    <row r="331" spans="2:15" ht="12.75" hidden="1" customHeight="1" x14ac:dyDescent="0.35">
      <c r="B331" s="150"/>
      <c r="C331" s="150"/>
      <c r="D331" s="150"/>
      <c r="E331" s="150"/>
      <c r="F331" s="150"/>
      <c r="H331" s="150"/>
      <c r="I331" s="150"/>
      <c r="O331" s="150"/>
    </row>
    <row r="332" spans="2:15" ht="12.75" hidden="1" customHeight="1" x14ac:dyDescent="0.35">
      <c r="B332" s="150"/>
      <c r="C332" s="150"/>
      <c r="D332" s="150"/>
      <c r="E332" s="150"/>
      <c r="F332" s="150"/>
      <c r="H332" s="150"/>
      <c r="I332" s="150"/>
      <c r="O332" s="150"/>
    </row>
    <row r="333" spans="2:15" ht="12.75" hidden="1" customHeight="1" x14ac:dyDescent="0.35">
      <c r="B333" s="150"/>
      <c r="C333" s="150"/>
      <c r="D333" s="150"/>
      <c r="E333" s="150"/>
      <c r="F333" s="150"/>
      <c r="H333" s="150"/>
      <c r="I333" s="150"/>
      <c r="O333" s="150"/>
    </row>
    <row r="334" spans="2:15" ht="12.75" hidden="1" customHeight="1" x14ac:dyDescent="0.35">
      <c r="B334" s="150"/>
      <c r="C334" s="150"/>
      <c r="D334" s="150"/>
      <c r="E334" s="150"/>
      <c r="F334" s="150"/>
      <c r="H334" s="150"/>
      <c r="I334" s="150"/>
      <c r="O334" s="150"/>
    </row>
    <row r="335" spans="2:15" ht="12.75" hidden="1" customHeight="1" x14ac:dyDescent="0.35">
      <c r="B335" s="150"/>
      <c r="C335" s="150"/>
      <c r="D335" s="150"/>
      <c r="E335" s="150"/>
      <c r="F335" s="150"/>
      <c r="H335" s="150"/>
      <c r="I335" s="150"/>
      <c r="O335" s="150"/>
    </row>
    <row r="336" spans="2:15" ht="12.75" hidden="1" customHeight="1" x14ac:dyDescent="0.35">
      <c r="B336" s="150"/>
      <c r="C336" s="150"/>
      <c r="D336" s="150"/>
      <c r="E336" s="150"/>
      <c r="F336" s="150"/>
      <c r="H336" s="150"/>
      <c r="I336" s="150"/>
      <c r="O336" s="150"/>
    </row>
    <row r="337" spans="2:15" ht="12.75" hidden="1" customHeight="1" x14ac:dyDescent="0.35">
      <c r="B337" s="150"/>
      <c r="C337" s="150"/>
      <c r="D337" s="150"/>
      <c r="E337" s="150"/>
      <c r="F337" s="150"/>
      <c r="H337" s="150"/>
      <c r="I337" s="150"/>
      <c r="O337" s="150"/>
    </row>
    <row r="338" spans="2:15" ht="12.75" hidden="1" customHeight="1" x14ac:dyDescent="0.35">
      <c r="B338" s="150"/>
      <c r="C338" s="150"/>
      <c r="D338" s="150"/>
      <c r="E338" s="150"/>
      <c r="F338" s="150"/>
      <c r="H338" s="150"/>
      <c r="I338" s="150"/>
      <c r="O338" s="150"/>
    </row>
    <row r="339" spans="2:15" ht="12.75" hidden="1" customHeight="1" x14ac:dyDescent="0.35">
      <c r="B339" s="150"/>
      <c r="C339" s="150"/>
      <c r="D339" s="150"/>
      <c r="E339" s="150"/>
      <c r="F339" s="150"/>
      <c r="H339" s="150"/>
      <c r="I339" s="150"/>
      <c r="O339" s="150"/>
    </row>
    <row r="340" spans="2:15" ht="12.75" hidden="1" customHeight="1" x14ac:dyDescent="0.35">
      <c r="B340" s="150"/>
      <c r="C340" s="150"/>
      <c r="D340" s="150"/>
      <c r="E340" s="150"/>
      <c r="F340" s="150"/>
      <c r="H340" s="150"/>
      <c r="I340" s="150"/>
      <c r="O340" s="150"/>
    </row>
    <row r="341" spans="2:15" ht="12.75" hidden="1" customHeight="1" x14ac:dyDescent="0.35">
      <c r="B341" s="150"/>
      <c r="C341" s="150"/>
      <c r="D341" s="150"/>
      <c r="E341" s="150"/>
      <c r="F341" s="150"/>
      <c r="H341" s="150"/>
      <c r="I341" s="150"/>
      <c r="O341" s="150"/>
    </row>
    <row r="342" spans="2:15" ht="12.75" hidden="1" customHeight="1" x14ac:dyDescent="0.35">
      <c r="B342" s="150"/>
      <c r="C342" s="150"/>
      <c r="D342" s="150"/>
      <c r="E342" s="150"/>
      <c r="F342" s="150"/>
      <c r="H342" s="150"/>
      <c r="I342" s="150"/>
      <c r="O342" s="150"/>
    </row>
    <row r="343" spans="2:15" ht="12.75" hidden="1" customHeight="1" x14ac:dyDescent="0.35">
      <c r="B343" s="150"/>
      <c r="C343" s="150"/>
      <c r="D343" s="150"/>
      <c r="E343" s="150"/>
      <c r="F343" s="150"/>
      <c r="H343" s="150"/>
      <c r="I343" s="150"/>
      <c r="O343" s="150"/>
    </row>
    <row r="344" spans="2:15" ht="12.75" hidden="1" customHeight="1" x14ac:dyDescent="0.35">
      <c r="B344" s="150"/>
      <c r="C344" s="150"/>
      <c r="D344" s="150"/>
      <c r="E344" s="150"/>
      <c r="F344" s="150"/>
      <c r="H344" s="150"/>
      <c r="I344" s="150"/>
      <c r="O344" s="150"/>
    </row>
    <row r="345" spans="2:15" ht="12.75" hidden="1" customHeight="1" x14ac:dyDescent="0.35">
      <c r="B345" s="150"/>
      <c r="C345" s="150"/>
      <c r="D345" s="150"/>
      <c r="E345" s="150"/>
      <c r="F345" s="150"/>
      <c r="H345" s="150"/>
      <c r="I345" s="150"/>
      <c r="O345" s="150"/>
    </row>
    <row r="346" spans="2:15" ht="12.75" hidden="1" customHeight="1" x14ac:dyDescent="0.35">
      <c r="B346" s="150"/>
      <c r="C346" s="150"/>
      <c r="D346" s="150"/>
      <c r="E346" s="150"/>
      <c r="F346" s="150"/>
      <c r="H346" s="150"/>
      <c r="I346" s="150"/>
      <c r="O346" s="150"/>
    </row>
    <row r="347" spans="2:15" ht="12.75" hidden="1" customHeight="1" x14ac:dyDescent="0.35">
      <c r="B347" s="150"/>
      <c r="C347" s="150"/>
      <c r="D347" s="150"/>
      <c r="E347" s="150"/>
      <c r="F347" s="150"/>
      <c r="H347" s="150"/>
      <c r="I347" s="150"/>
      <c r="O347" s="150"/>
    </row>
    <row r="348" spans="2:15" ht="12.75" hidden="1" customHeight="1" x14ac:dyDescent="0.35">
      <c r="B348" s="150"/>
      <c r="C348" s="150"/>
      <c r="D348" s="150"/>
      <c r="E348" s="150"/>
      <c r="F348" s="150"/>
      <c r="H348" s="150"/>
      <c r="I348" s="150"/>
      <c r="O348" s="150"/>
    </row>
    <row r="349" spans="2:15" ht="12.75" hidden="1" customHeight="1" x14ac:dyDescent="0.35">
      <c r="B349" s="150"/>
      <c r="C349" s="150"/>
      <c r="D349" s="150"/>
      <c r="E349" s="150"/>
      <c r="F349" s="150"/>
      <c r="H349" s="150"/>
      <c r="I349" s="150"/>
      <c r="O349" s="150"/>
    </row>
    <row r="350" spans="2:15" ht="12.75" hidden="1" customHeight="1" x14ac:dyDescent="0.35">
      <c r="B350" s="150"/>
      <c r="C350" s="150"/>
      <c r="D350" s="150"/>
      <c r="E350" s="150"/>
      <c r="F350" s="150"/>
      <c r="H350" s="150"/>
      <c r="I350" s="150"/>
      <c r="O350" s="150"/>
    </row>
    <row r="351" spans="2:15" ht="12.75" hidden="1" customHeight="1" x14ac:dyDescent="0.35">
      <c r="B351" s="150"/>
      <c r="C351" s="150"/>
      <c r="D351" s="150"/>
      <c r="E351" s="150"/>
      <c r="F351" s="150"/>
      <c r="H351" s="150"/>
      <c r="I351" s="150"/>
      <c r="O351" s="150"/>
    </row>
    <row r="352" spans="2:15" ht="12.75" hidden="1" customHeight="1" x14ac:dyDescent="0.35">
      <c r="B352" s="150"/>
      <c r="C352" s="150"/>
      <c r="D352" s="150"/>
      <c r="E352" s="150"/>
      <c r="F352" s="150"/>
      <c r="H352" s="150"/>
      <c r="I352" s="150"/>
      <c r="O352" s="150"/>
    </row>
    <row r="353" spans="2:15" ht="12.75" hidden="1" customHeight="1" x14ac:dyDescent="0.35">
      <c r="B353" s="150"/>
      <c r="C353" s="150"/>
      <c r="D353" s="150"/>
      <c r="E353" s="150"/>
      <c r="F353" s="150"/>
      <c r="H353" s="150"/>
      <c r="I353" s="150"/>
      <c r="O353" s="150"/>
    </row>
    <row r="354" spans="2:15" ht="12.75" hidden="1" customHeight="1" x14ac:dyDescent="0.35">
      <c r="B354" s="150"/>
      <c r="C354" s="150"/>
      <c r="D354" s="150"/>
      <c r="E354" s="150"/>
      <c r="F354" s="150"/>
      <c r="H354" s="150"/>
      <c r="I354" s="150"/>
      <c r="O354" s="150"/>
    </row>
    <row r="355" spans="2:15" ht="12.75" hidden="1" customHeight="1" x14ac:dyDescent="0.35">
      <c r="B355" s="150"/>
      <c r="C355" s="150"/>
      <c r="D355" s="150"/>
      <c r="E355" s="150"/>
      <c r="F355" s="150"/>
      <c r="H355" s="150"/>
      <c r="I355" s="150"/>
      <c r="O355" s="150"/>
    </row>
    <row r="356" spans="2:15" ht="12.75" hidden="1" customHeight="1" x14ac:dyDescent="0.35">
      <c r="B356" s="150"/>
      <c r="C356" s="150"/>
      <c r="D356" s="150"/>
      <c r="E356" s="150"/>
      <c r="F356" s="150"/>
      <c r="H356" s="150"/>
      <c r="I356" s="150"/>
      <c r="O356" s="150"/>
    </row>
    <row r="357" spans="2:15" ht="12.75" hidden="1" customHeight="1" x14ac:dyDescent="0.35">
      <c r="B357" s="150"/>
      <c r="C357" s="150"/>
      <c r="D357" s="150"/>
      <c r="E357" s="150"/>
      <c r="F357" s="150"/>
      <c r="H357" s="150"/>
      <c r="I357" s="150"/>
      <c r="O357" s="150"/>
    </row>
    <row r="358" spans="2:15" ht="12.75" hidden="1" customHeight="1" x14ac:dyDescent="0.35">
      <c r="B358" s="150"/>
      <c r="C358" s="150"/>
      <c r="D358" s="150"/>
      <c r="E358" s="150"/>
      <c r="F358" s="150"/>
      <c r="H358" s="150"/>
      <c r="I358" s="150"/>
      <c r="O358" s="150"/>
    </row>
    <row r="359" spans="2:15" ht="12.75" hidden="1" customHeight="1" x14ac:dyDescent="0.35">
      <c r="B359" s="150"/>
      <c r="C359" s="150"/>
      <c r="D359" s="150"/>
      <c r="E359" s="150"/>
      <c r="F359" s="150"/>
      <c r="H359" s="150"/>
      <c r="I359" s="150"/>
      <c r="O359" s="150"/>
    </row>
    <row r="360" spans="2:15" ht="12.75" hidden="1" customHeight="1" x14ac:dyDescent="0.35">
      <c r="B360" s="150"/>
      <c r="C360" s="150"/>
      <c r="D360" s="150"/>
      <c r="E360" s="150"/>
      <c r="F360" s="150"/>
      <c r="H360" s="150"/>
      <c r="I360" s="150"/>
      <c r="O360" s="150"/>
    </row>
    <row r="361" spans="2:15" ht="12.75" hidden="1" customHeight="1" x14ac:dyDescent="0.35">
      <c r="B361" s="150"/>
      <c r="C361" s="150"/>
      <c r="D361" s="150"/>
      <c r="E361" s="150"/>
      <c r="F361" s="150"/>
      <c r="H361" s="150"/>
      <c r="I361" s="150"/>
      <c r="O361" s="150"/>
    </row>
    <row r="362" spans="2:15" ht="12.75" hidden="1" customHeight="1" x14ac:dyDescent="0.35">
      <c r="B362" s="150"/>
      <c r="C362" s="150"/>
      <c r="D362" s="150"/>
      <c r="E362" s="150"/>
      <c r="F362" s="150"/>
      <c r="H362" s="150"/>
      <c r="I362" s="150"/>
      <c r="O362" s="150"/>
    </row>
    <row r="363" spans="2:15" ht="12.75" hidden="1" customHeight="1" x14ac:dyDescent="0.35">
      <c r="B363" s="150"/>
      <c r="C363" s="150"/>
      <c r="D363" s="150"/>
      <c r="E363" s="150"/>
      <c r="F363" s="150"/>
      <c r="H363" s="150"/>
      <c r="I363" s="150"/>
      <c r="O363" s="150"/>
    </row>
    <row r="364" spans="2:15" ht="12.75" hidden="1" customHeight="1" x14ac:dyDescent="0.35">
      <c r="B364" s="150"/>
      <c r="C364" s="150"/>
      <c r="D364" s="150"/>
      <c r="E364" s="150"/>
      <c r="F364" s="150"/>
      <c r="H364" s="150"/>
      <c r="I364" s="150"/>
      <c r="O364" s="150"/>
    </row>
    <row r="365" spans="2:15" ht="12.75" hidden="1" customHeight="1" x14ac:dyDescent="0.35">
      <c r="B365" s="150"/>
      <c r="C365" s="150"/>
      <c r="D365" s="150"/>
      <c r="E365" s="150"/>
      <c r="F365" s="150"/>
      <c r="H365" s="150"/>
      <c r="I365" s="150"/>
      <c r="O365" s="150"/>
    </row>
    <row r="366" spans="2:15" ht="12.75" hidden="1" customHeight="1" x14ac:dyDescent="0.35">
      <c r="B366" s="150"/>
      <c r="C366" s="150"/>
      <c r="D366" s="150"/>
      <c r="E366" s="150"/>
      <c r="F366" s="150"/>
      <c r="H366" s="150"/>
      <c r="I366" s="150"/>
      <c r="O366" s="150"/>
    </row>
    <row r="367" spans="2:15" ht="12.75" hidden="1" customHeight="1" x14ac:dyDescent="0.35">
      <c r="B367" s="150"/>
      <c r="C367" s="150"/>
      <c r="D367" s="150"/>
      <c r="E367" s="150"/>
      <c r="F367" s="150"/>
      <c r="H367" s="150"/>
      <c r="I367" s="150"/>
      <c r="O367" s="150"/>
    </row>
    <row r="368" spans="2:15" ht="12.75" hidden="1" customHeight="1" x14ac:dyDescent="0.35">
      <c r="B368" s="150"/>
      <c r="C368" s="150"/>
      <c r="D368" s="150"/>
      <c r="E368" s="150"/>
      <c r="F368" s="150"/>
      <c r="H368" s="150"/>
      <c r="I368" s="150"/>
      <c r="O368" s="150"/>
    </row>
    <row r="369" spans="2:15" ht="12.75" hidden="1" customHeight="1" x14ac:dyDescent="0.35">
      <c r="B369" s="150"/>
      <c r="C369" s="150"/>
      <c r="D369" s="150"/>
      <c r="E369" s="150"/>
      <c r="F369" s="150"/>
      <c r="H369" s="150"/>
      <c r="I369" s="150"/>
      <c r="O369" s="150"/>
    </row>
    <row r="370" spans="2:15" ht="12.75" hidden="1" customHeight="1" x14ac:dyDescent="0.35">
      <c r="B370" s="150"/>
      <c r="C370" s="150"/>
      <c r="D370" s="150"/>
      <c r="E370" s="150"/>
      <c r="F370" s="150"/>
      <c r="H370" s="150"/>
      <c r="I370" s="150"/>
      <c r="O370" s="150"/>
    </row>
    <row r="371" spans="2:15" ht="12.75" hidden="1" customHeight="1" x14ac:dyDescent="0.35">
      <c r="B371" s="150"/>
      <c r="C371" s="150"/>
      <c r="D371" s="150"/>
      <c r="E371" s="150"/>
      <c r="F371" s="150"/>
      <c r="H371" s="150"/>
      <c r="I371" s="150"/>
      <c r="O371" s="150"/>
    </row>
    <row r="372" spans="2:15" ht="12.75" hidden="1" customHeight="1" x14ac:dyDescent="0.35">
      <c r="B372" s="150"/>
      <c r="C372" s="150"/>
      <c r="D372" s="150"/>
      <c r="E372" s="150"/>
      <c r="F372" s="150"/>
      <c r="H372" s="150"/>
      <c r="I372" s="150"/>
      <c r="O372" s="150"/>
    </row>
    <row r="373" spans="2:15" ht="12.75" hidden="1" customHeight="1" x14ac:dyDescent="0.35">
      <c r="B373" s="150"/>
      <c r="C373" s="150"/>
      <c r="D373" s="150"/>
      <c r="E373" s="150"/>
      <c r="F373" s="150"/>
      <c r="H373" s="150"/>
      <c r="I373" s="150"/>
      <c r="O373" s="150"/>
    </row>
    <row r="374" spans="2:15" ht="12.75" hidden="1" customHeight="1" x14ac:dyDescent="0.35">
      <c r="B374" s="150"/>
      <c r="C374" s="150"/>
      <c r="D374" s="150"/>
      <c r="E374" s="150"/>
      <c r="F374" s="150"/>
      <c r="H374" s="150"/>
      <c r="I374" s="150"/>
      <c r="O374" s="150"/>
    </row>
    <row r="375" spans="2:15" ht="12.75" hidden="1" customHeight="1" x14ac:dyDescent="0.35">
      <c r="B375" s="150"/>
      <c r="C375" s="150"/>
      <c r="D375" s="150"/>
      <c r="E375" s="150"/>
      <c r="F375" s="150"/>
      <c r="H375" s="150"/>
      <c r="I375" s="150"/>
      <c r="O375" s="150"/>
    </row>
    <row r="376" spans="2:15" ht="12.75" hidden="1" customHeight="1" x14ac:dyDescent="0.35">
      <c r="B376" s="150"/>
      <c r="C376" s="150"/>
      <c r="D376" s="150"/>
      <c r="E376" s="150"/>
      <c r="F376" s="150"/>
      <c r="H376" s="150"/>
      <c r="I376" s="150"/>
      <c r="O376" s="150"/>
    </row>
    <row r="377" spans="2:15" ht="12.75" hidden="1" customHeight="1" x14ac:dyDescent="0.35">
      <c r="B377" s="150"/>
      <c r="C377" s="150"/>
      <c r="D377" s="150"/>
      <c r="E377" s="150"/>
      <c r="F377" s="150"/>
      <c r="H377" s="150"/>
      <c r="I377" s="150"/>
      <c r="O377" s="150"/>
    </row>
    <row r="378" spans="2:15" ht="12.75" hidden="1" customHeight="1" x14ac:dyDescent="0.35">
      <c r="B378" s="150"/>
      <c r="C378" s="150"/>
      <c r="D378" s="150"/>
      <c r="E378" s="150"/>
      <c r="F378" s="150"/>
      <c r="H378" s="150"/>
      <c r="I378" s="150"/>
      <c r="O378" s="150"/>
    </row>
    <row r="379" spans="2:15" ht="12.75" hidden="1" customHeight="1" x14ac:dyDescent="0.35">
      <c r="B379" s="150"/>
      <c r="C379" s="150"/>
      <c r="D379" s="150"/>
      <c r="E379" s="150"/>
      <c r="F379" s="150"/>
      <c r="H379" s="150"/>
      <c r="I379" s="150"/>
      <c r="O379" s="150"/>
    </row>
    <row r="380" spans="2:15" ht="12.75" hidden="1" customHeight="1" x14ac:dyDescent="0.35">
      <c r="B380" s="150"/>
      <c r="C380" s="150"/>
      <c r="D380" s="150"/>
      <c r="E380" s="150"/>
      <c r="F380" s="150"/>
      <c r="H380" s="150"/>
      <c r="I380" s="150"/>
      <c r="O380" s="150"/>
    </row>
    <row r="381" spans="2:15" ht="12.75" hidden="1" customHeight="1" x14ac:dyDescent="0.35">
      <c r="B381" s="150"/>
      <c r="C381" s="150"/>
      <c r="D381" s="150"/>
      <c r="E381" s="150"/>
      <c r="F381" s="150"/>
      <c r="H381" s="150"/>
      <c r="I381" s="150"/>
      <c r="O381" s="150"/>
    </row>
    <row r="382" spans="2:15" ht="12.75" hidden="1" customHeight="1" x14ac:dyDescent="0.35">
      <c r="B382" s="150"/>
      <c r="C382" s="150"/>
      <c r="D382" s="150"/>
      <c r="E382" s="150"/>
      <c r="F382" s="150"/>
      <c r="H382" s="150"/>
      <c r="I382" s="150"/>
      <c r="O382" s="150"/>
    </row>
    <row r="383" spans="2:15" ht="12.75" hidden="1" customHeight="1" x14ac:dyDescent="0.35">
      <c r="B383" s="150"/>
      <c r="C383" s="150"/>
      <c r="D383" s="150"/>
      <c r="E383" s="150"/>
      <c r="F383" s="150"/>
      <c r="H383" s="150"/>
      <c r="I383" s="150"/>
      <c r="O383" s="150"/>
    </row>
    <row r="384" spans="2:15" ht="12.75" hidden="1" customHeight="1" x14ac:dyDescent="0.35">
      <c r="B384" s="150"/>
      <c r="C384" s="150"/>
      <c r="D384" s="150"/>
      <c r="E384" s="150"/>
      <c r="F384" s="150"/>
      <c r="H384" s="150"/>
      <c r="I384" s="150"/>
      <c r="O384" s="150"/>
    </row>
    <row r="385" spans="2:15" ht="12.75" hidden="1" customHeight="1" x14ac:dyDescent="0.35">
      <c r="B385" s="150"/>
      <c r="C385" s="150"/>
      <c r="D385" s="150"/>
      <c r="E385" s="150"/>
      <c r="F385" s="150"/>
      <c r="H385" s="150"/>
      <c r="I385" s="150"/>
      <c r="O385" s="150"/>
    </row>
    <row r="386" spans="2:15" ht="12.75" hidden="1" customHeight="1" x14ac:dyDescent="0.35">
      <c r="B386" s="150"/>
      <c r="C386" s="150"/>
      <c r="D386" s="150"/>
      <c r="E386" s="150"/>
      <c r="F386" s="150"/>
      <c r="H386" s="150"/>
      <c r="I386" s="150"/>
      <c r="O386" s="150"/>
    </row>
    <row r="387" spans="2:15" ht="12.75" hidden="1" customHeight="1" x14ac:dyDescent="0.35">
      <c r="B387" s="150"/>
      <c r="C387" s="150"/>
      <c r="D387" s="150"/>
      <c r="E387" s="150"/>
      <c r="F387" s="150"/>
      <c r="H387" s="150"/>
      <c r="I387" s="150"/>
      <c r="O387" s="150"/>
    </row>
    <row r="388" spans="2:15" ht="12.75" hidden="1" customHeight="1" x14ac:dyDescent="0.35">
      <c r="B388" s="150"/>
      <c r="C388" s="150"/>
      <c r="D388" s="150"/>
      <c r="E388" s="150"/>
      <c r="F388" s="150"/>
      <c r="H388" s="150"/>
      <c r="I388" s="150"/>
      <c r="O388" s="150"/>
    </row>
    <row r="389" spans="2:15" ht="12.75" hidden="1" customHeight="1" x14ac:dyDescent="0.35">
      <c r="B389" s="150"/>
      <c r="C389" s="150"/>
      <c r="D389" s="150"/>
      <c r="E389" s="150"/>
      <c r="F389" s="150"/>
      <c r="H389" s="150"/>
      <c r="I389" s="150"/>
      <c r="O389" s="150"/>
    </row>
    <row r="390" spans="2:15" ht="12.75" hidden="1" customHeight="1" x14ac:dyDescent="0.35">
      <c r="B390" s="150"/>
      <c r="C390" s="150"/>
      <c r="D390" s="150"/>
      <c r="E390" s="150"/>
      <c r="F390" s="150"/>
      <c r="H390" s="150"/>
      <c r="I390" s="150"/>
      <c r="O390" s="150"/>
    </row>
    <row r="391" spans="2:15" ht="12.75" hidden="1" customHeight="1" x14ac:dyDescent="0.35">
      <c r="B391" s="150"/>
      <c r="C391" s="150"/>
      <c r="D391" s="150"/>
      <c r="E391" s="150"/>
      <c r="F391" s="150"/>
      <c r="H391" s="150"/>
      <c r="I391" s="150"/>
      <c r="O391" s="150"/>
    </row>
    <row r="392" spans="2:15" ht="12.75" hidden="1" customHeight="1" x14ac:dyDescent="0.35">
      <c r="B392" s="150"/>
      <c r="C392" s="150"/>
      <c r="D392" s="150"/>
      <c r="E392" s="150"/>
      <c r="F392" s="150"/>
      <c r="H392" s="150"/>
      <c r="I392" s="150"/>
      <c r="O392" s="150"/>
    </row>
    <row r="393" spans="2:15" ht="12.75" hidden="1" customHeight="1" x14ac:dyDescent="0.35">
      <c r="B393" s="150"/>
      <c r="C393" s="150"/>
      <c r="D393" s="150"/>
      <c r="E393" s="150"/>
      <c r="F393" s="150"/>
      <c r="H393" s="150"/>
      <c r="I393" s="150"/>
      <c r="O393" s="150"/>
    </row>
    <row r="394" spans="2:15" ht="12.75" hidden="1" customHeight="1" x14ac:dyDescent="0.35">
      <c r="B394" s="150"/>
      <c r="C394" s="150"/>
      <c r="D394" s="150"/>
      <c r="E394" s="150"/>
      <c r="F394" s="150"/>
      <c r="H394" s="150"/>
      <c r="I394" s="150"/>
      <c r="O394" s="150"/>
    </row>
    <row r="395" spans="2:15" ht="12.75" hidden="1" customHeight="1" x14ac:dyDescent="0.35">
      <c r="B395" s="150"/>
      <c r="C395" s="150"/>
      <c r="D395" s="150"/>
      <c r="E395" s="150"/>
      <c r="F395" s="150"/>
      <c r="H395" s="150"/>
      <c r="I395" s="150"/>
      <c r="O395" s="150"/>
    </row>
    <row r="396" spans="2:15" ht="12.75" hidden="1" customHeight="1" x14ac:dyDescent="0.35">
      <c r="B396" s="150"/>
      <c r="C396" s="150"/>
      <c r="D396" s="150"/>
      <c r="E396" s="150"/>
      <c r="F396" s="150"/>
      <c r="H396" s="150"/>
      <c r="I396" s="150"/>
      <c r="O396" s="150"/>
    </row>
    <row r="397" spans="2:15" ht="12.75" hidden="1" customHeight="1" x14ac:dyDescent="0.35">
      <c r="B397" s="150"/>
      <c r="C397" s="150"/>
      <c r="D397" s="150"/>
      <c r="E397" s="150"/>
      <c r="F397" s="150"/>
      <c r="H397" s="150"/>
      <c r="I397" s="150"/>
      <c r="O397" s="150"/>
    </row>
    <row r="398" spans="2:15" ht="12.75" hidden="1" customHeight="1" x14ac:dyDescent="0.35">
      <c r="B398" s="150"/>
      <c r="C398" s="150"/>
      <c r="D398" s="150"/>
      <c r="E398" s="150"/>
      <c r="F398" s="150"/>
      <c r="H398" s="150"/>
      <c r="I398" s="150"/>
      <c r="O398" s="150"/>
    </row>
    <row r="399" spans="2:15" ht="12.75" hidden="1" customHeight="1" x14ac:dyDescent="0.35">
      <c r="B399" s="150"/>
      <c r="C399" s="150"/>
      <c r="D399" s="150"/>
      <c r="E399" s="150"/>
      <c r="F399" s="150"/>
      <c r="H399" s="150"/>
      <c r="I399" s="150"/>
      <c r="O399" s="150"/>
    </row>
    <row r="400" spans="2:15" ht="12.75" hidden="1" customHeight="1" x14ac:dyDescent="0.35">
      <c r="B400" s="150"/>
      <c r="C400" s="150"/>
      <c r="D400" s="150"/>
      <c r="E400" s="150"/>
      <c r="F400" s="150"/>
      <c r="H400" s="150"/>
      <c r="I400" s="150"/>
      <c r="O400" s="150"/>
    </row>
    <row r="401" spans="2:15" ht="12.75" hidden="1" customHeight="1" x14ac:dyDescent="0.35">
      <c r="B401" s="150"/>
      <c r="C401" s="150"/>
      <c r="D401" s="150"/>
      <c r="E401" s="150"/>
      <c r="F401" s="150"/>
      <c r="H401" s="150"/>
      <c r="I401" s="150"/>
      <c r="O401" s="150"/>
    </row>
    <row r="402" spans="2:15" ht="12.75" hidden="1" customHeight="1" x14ac:dyDescent="0.35">
      <c r="B402" s="150"/>
      <c r="C402" s="150"/>
      <c r="D402" s="150"/>
      <c r="E402" s="150"/>
      <c r="F402" s="150"/>
      <c r="H402" s="150"/>
      <c r="I402" s="150"/>
      <c r="O402" s="150"/>
    </row>
    <row r="403" spans="2:15" ht="12.75" hidden="1" customHeight="1" x14ac:dyDescent="0.35">
      <c r="B403" s="150"/>
      <c r="C403" s="150"/>
      <c r="D403" s="150"/>
      <c r="E403" s="150"/>
      <c r="F403" s="150"/>
      <c r="H403" s="150"/>
      <c r="I403" s="150"/>
      <c r="O403" s="150"/>
    </row>
    <row r="404" spans="2:15" ht="12.75" hidden="1" customHeight="1" x14ac:dyDescent="0.35">
      <c r="B404" s="150"/>
      <c r="C404" s="150"/>
      <c r="D404" s="150"/>
      <c r="E404" s="150"/>
      <c r="F404" s="150"/>
      <c r="H404" s="150"/>
      <c r="I404" s="150"/>
      <c r="O404" s="150"/>
    </row>
    <row r="405" spans="2:15" ht="12.75" hidden="1" customHeight="1" x14ac:dyDescent="0.35">
      <c r="B405" s="150"/>
      <c r="C405" s="150"/>
      <c r="D405" s="150"/>
      <c r="E405" s="150"/>
      <c r="F405" s="150"/>
      <c r="H405" s="150"/>
      <c r="I405" s="150"/>
      <c r="O405" s="150"/>
    </row>
    <row r="406" spans="2:15" ht="12.75" hidden="1" customHeight="1" x14ac:dyDescent="0.35">
      <c r="B406" s="150"/>
      <c r="C406" s="150"/>
      <c r="D406" s="150"/>
      <c r="E406" s="150"/>
      <c r="F406" s="150"/>
      <c r="H406" s="150"/>
      <c r="I406" s="150"/>
      <c r="O406" s="150"/>
    </row>
    <row r="407" spans="2:15" ht="12.75" hidden="1" customHeight="1" x14ac:dyDescent="0.35">
      <c r="B407" s="150"/>
      <c r="C407" s="150"/>
      <c r="D407" s="150"/>
      <c r="E407" s="150"/>
      <c r="F407" s="150"/>
      <c r="H407" s="150"/>
      <c r="I407" s="150"/>
      <c r="O407" s="15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2B16D-51D5-4176-B78F-94708643AD3F}">
  <sheetPr codeName="Sheet3"/>
  <dimension ref="A1:AY407"/>
  <sheetViews>
    <sheetView workbookViewId="0">
      <pane xSplit="2" ySplit="10" topLeftCell="G20" activePane="bottomRight" state="frozen"/>
      <selection activeCell="B7" sqref="B7"/>
      <selection pane="topRight" activeCell="B7" sqref="B7"/>
      <selection pane="bottomLeft" activeCell="B7" sqref="B7"/>
      <selection pane="bottomRight" activeCell="B7" sqref="B7"/>
    </sheetView>
  </sheetViews>
  <sheetFormatPr defaultRowHeight="12.75" x14ac:dyDescent="0.35"/>
  <cols>
    <col min="2" max="2" width="43.86328125" bestFit="1" customWidth="1"/>
    <col min="3" max="3" width="14.265625" customWidth="1"/>
    <col min="4" max="4" width="14.265625" style="34" customWidth="1"/>
    <col min="5" max="5" width="14.265625" customWidth="1"/>
    <col min="6" max="6" width="11.86328125" customWidth="1"/>
    <col min="7" max="7" width="12.265625" style="34" bestFit="1" customWidth="1"/>
    <col min="8" max="8" width="12.265625" style="34" customWidth="1"/>
    <col min="9" max="9" width="11.73046875" bestFit="1" customWidth="1"/>
    <col min="10" max="10" width="11.73046875" customWidth="1"/>
    <col min="11" max="11" width="12.265625" style="34" bestFit="1" customWidth="1"/>
    <col min="12" max="12" width="12.265625" style="34" customWidth="1"/>
    <col min="13" max="13" width="12.265625" style="69" bestFit="1" customWidth="1"/>
    <col min="14" max="15" width="12.265625" style="69" customWidth="1"/>
    <col min="16" max="16" width="34.86328125" style="69" customWidth="1"/>
    <col min="17" max="20" width="12.265625" style="34" customWidth="1"/>
    <col min="21" max="30" width="12.265625" customWidth="1"/>
    <col min="32" max="32" width="11.73046875" bestFit="1" customWidth="1"/>
    <col min="33" max="33" width="17.59765625" customWidth="1"/>
    <col min="35" max="35" width="11.265625" customWidth="1"/>
    <col min="40" max="40" width="11.265625" bestFit="1" customWidth="1"/>
    <col min="41" max="41" width="13.73046875" customWidth="1"/>
    <col min="46" max="47" width="11.73046875" bestFit="1" customWidth="1"/>
    <col min="49" max="49" width="11.73046875" bestFit="1" customWidth="1"/>
    <col min="51" max="51" width="11.73046875" bestFit="1" customWidth="1"/>
  </cols>
  <sheetData>
    <row r="1" spans="1:46" ht="12.75" customHeight="1" x14ac:dyDescent="0.35">
      <c r="B1" s="52"/>
      <c r="C1" s="52"/>
      <c r="D1" s="52"/>
      <c r="E1" s="52"/>
      <c r="F1" s="52"/>
      <c r="G1" s="52"/>
      <c r="H1" s="52"/>
      <c r="I1" s="52"/>
      <c r="J1" s="52"/>
      <c r="K1" s="52"/>
      <c r="L1" s="52"/>
      <c r="M1" s="68"/>
      <c r="N1" s="68"/>
      <c r="O1" s="68"/>
      <c r="P1" s="68"/>
      <c r="Q1" s="52"/>
      <c r="R1" s="52"/>
      <c r="S1" s="52"/>
      <c r="T1" s="52"/>
    </row>
    <row r="2" spans="1:46" ht="12.75" customHeight="1" x14ac:dyDescent="0.35">
      <c r="B2" s="52"/>
      <c r="C2" s="52"/>
      <c r="D2" s="52"/>
      <c r="E2" s="52"/>
      <c r="F2" s="52"/>
      <c r="G2" s="52"/>
      <c r="H2" s="52"/>
      <c r="I2" s="52"/>
      <c r="J2" s="52"/>
      <c r="K2" s="52"/>
      <c r="L2" s="52"/>
      <c r="M2" s="68"/>
      <c r="N2" s="68"/>
      <c r="O2" s="68"/>
      <c r="P2" s="68"/>
      <c r="Q2" s="52"/>
      <c r="R2" s="52"/>
      <c r="S2" s="52"/>
      <c r="T2" s="52"/>
    </row>
    <row r="3" spans="1:46" ht="12.75" customHeight="1" x14ac:dyDescent="0.35">
      <c r="B3" s="52"/>
      <c r="C3" s="52"/>
      <c r="D3" s="52"/>
      <c r="E3" s="52"/>
      <c r="F3" s="52"/>
      <c r="G3" s="52"/>
      <c r="H3" s="52"/>
      <c r="I3" s="52"/>
      <c r="J3" s="52"/>
      <c r="K3" s="52"/>
      <c r="L3" s="52"/>
      <c r="M3" s="68"/>
      <c r="N3" s="68"/>
      <c r="O3" s="68"/>
      <c r="P3" s="68"/>
      <c r="Q3" s="52"/>
      <c r="R3" s="52"/>
      <c r="S3" s="52"/>
      <c r="T3" s="52"/>
    </row>
    <row r="4" spans="1:46" ht="12.75" customHeight="1" x14ac:dyDescent="0.35">
      <c r="B4" s="52"/>
      <c r="C4" s="52"/>
      <c r="D4" s="52"/>
      <c r="E4" s="52"/>
      <c r="F4" s="52"/>
      <c r="G4" s="52"/>
      <c r="H4" s="52"/>
      <c r="I4" s="52"/>
      <c r="J4" s="52"/>
      <c r="K4" s="52"/>
      <c r="L4" s="52"/>
      <c r="M4" s="68"/>
      <c r="N4" s="68"/>
      <c r="O4" s="68"/>
      <c r="P4" s="68"/>
      <c r="Q4" s="52"/>
      <c r="R4" s="52"/>
      <c r="S4" s="52"/>
      <c r="T4" s="52"/>
    </row>
    <row r="5" spans="1:46" ht="12.75" customHeight="1" x14ac:dyDescent="0.35">
      <c r="B5" s="52"/>
      <c r="C5" s="52"/>
      <c r="D5" s="52"/>
      <c r="E5" s="52"/>
      <c r="F5" s="52"/>
      <c r="G5" s="52"/>
      <c r="H5" s="52"/>
      <c r="I5" s="52"/>
      <c r="J5" s="52"/>
      <c r="K5" s="52"/>
      <c r="L5" s="52"/>
      <c r="M5" s="68"/>
      <c r="N5" s="68"/>
      <c r="O5" s="68"/>
      <c r="P5" s="68"/>
      <c r="Q5" s="52"/>
      <c r="R5" s="52"/>
      <c r="S5" s="52"/>
      <c r="T5" s="52"/>
    </row>
    <row r="6" spans="1:46" ht="38.25" customHeight="1" x14ac:dyDescent="0.35">
      <c r="B6" s="52"/>
      <c r="C6" s="52"/>
      <c r="D6" s="52"/>
      <c r="E6" s="52"/>
      <c r="F6" s="52"/>
      <c r="G6" s="52"/>
      <c r="H6" s="52"/>
      <c r="I6" s="52"/>
      <c r="J6" s="52"/>
      <c r="K6" s="52"/>
      <c r="L6" s="52"/>
      <c r="M6" s="68"/>
      <c r="N6" s="68"/>
      <c r="O6" s="68"/>
      <c r="P6" s="68"/>
      <c r="Q6" s="52"/>
      <c r="R6" s="52"/>
      <c r="S6" s="52"/>
      <c r="T6" s="52"/>
    </row>
    <row r="7" spans="1:46" ht="12.75" customHeight="1" x14ac:dyDescent="0.35"/>
    <row r="8" spans="1:46" ht="12.75" customHeight="1" x14ac:dyDescent="0.35">
      <c r="D8" s="74" t="s">
        <v>140</v>
      </c>
      <c r="G8" s="74" t="s">
        <v>140</v>
      </c>
      <c r="K8" s="74" t="s">
        <v>240</v>
      </c>
      <c r="O8" s="74" t="s">
        <v>241</v>
      </c>
    </row>
    <row r="9" spans="1:46" ht="12.75" customHeight="1" x14ac:dyDescent="0.35">
      <c r="B9" s="4"/>
      <c r="C9" s="9" t="s">
        <v>2</v>
      </c>
      <c r="D9" s="44" t="s">
        <v>1</v>
      </c>
      <c r="E9" s="9" t="s">
        <v>0</v>
      </c>
      <c r="F9" s="2"/>
      <c r="G9" s="46">
        <v>43617</v>
      </c>
      <c r="H9" s="46"/>
      <c r="I9" s="47">
        <v>43983</v>
      </c>
      <c r="J9" s="47"/>
      <c r="K9" s="46">
        <v>44348</v>
      </c>
      <c r="L9" s="46"/>
      <c r="M9" s="70">
        <v>44713</v>
      </c>
      <c r="N9" s="70"/>
      <c r="O9" s="128" t="s">
        <v>238</v>
      </c>
      <c r="P9" s="128"/>
      <c r="Q9" s="46"/>
      <c r="R9" s="46"/>
      <c r="S9" s="46"/>
      <c r="T9" s="46"/>
      <c r="U9" s="10"/>
      <c r="V9" s="10"/>
      <c r="W9" s="10"/>
      <c r="X9" s="10"/>
      <c r="Y9" s="10"/>
      <c r="Z9" s="10"/>
      <c r="AA9" s="10"/>
      <c r="AB9" s="10"/>
      <c r="AC9" s="10"/>
      <c r="AD9" s="10"/>
    </row>
    <row r="10" spans="1:46" ht="12.75" customHeight="1" x14ac:dyDescent="0.35">
      <c r="A10" t="s">
        <v>167</v>
      </c>
      <c r="G10" s="44" t="s">
        <v>131</v>
      </c>
      <c r="H10" s="44"/>
      <c r="I10" s="9" t="s">
        <v>131</v>
      </c>
      <c r="J10" s="9"/>
      <c r="K10" s="44" t="s">
        <v>132</v>
      </c>
      <c r="L10" s="44"/>
      <c r="M10" s="9" t="s">
        <v>132</v>
      </c>
      <c r="N10" s="9"/>
      <c r="O10" s="9" t="s">
        <v>132</v>
      </c>
      <c r="P10" s="9"/>
      <c r="Q10" s="44"/>
      <c r="R10" s="44"/>
      <c r="S10" s="44"/>
      <c r="T10" s="44"/>
      <c r="U10" s="9"/>
      <c r="V10" s="9"/>
      <c r="W10" s="9"/>
      <c r="X10" s="9"/>
      <c r="Y10" s="9"/>
      <c r="Z10" s="9"/>
      <c r="AA10" s="9"/>
      <c r="AB10" s="9"/>
      <c r="AC10" s="9"/>
      <c r="AD10" s="9"/>
      <c r="AI10">
        <v>0.62309999999999999</v>
      </c>
      <c r="AL10" t="s">
        <v>133</v>
      </c>
    </row>
    <row r="11" spans="1:46" ht="12.75" customHeight="1" x14ac:dyDescent="0.35">
      <c r="B11" s="3" t="s">
        <v>3</v>
      </c>
      <c r="AG11" s="26"/>
      <c r="AH11" s="26"/>
      <c r="AI11" t="s">
        <v>161</v>
      </c>
      <c r="AJ11" t="s">
        <v>162</v>
      </c>
    </row>
    <row r="12" spans="1:46" ht="12.75" customHeight="1" x14ac:dyDescent="0.35">
      <c r="AG12" s="26" t="s">
        <v>156</v>
      </c>
      <c r="AH12" s="26">
        <v>84</v>
      </c>
      <c r="AI12">
        <f>AH12/$AI$10</f>
        <v>134.80982185844968</v>
      </c>
      <c r="AJ12">
        <f>AJ27</f>
        <v>158</v>
      </c>
      <c r="AK12">
        <f>AJ12-AI12</f>
        <v>23.190178141550319</v>
      </c>
      <c r="AL12">
        <f>AI27</f>
        <v>163</v>
      </c>
      <c r="AM12">
        <f>AL12*AK12</f>
        <v>3779.9990370727019</v>
      </c>
      <c r="AQ12" s="27"/>
      <c r="AR12" s="28"/>
      <c r="AS12" s="26"/>
      <c r="AT12" s="29"/>
    </row>
    <row r="13" spans="1:46" ht="12.75" customHeight="1" x14ac:dyDescent="0.35">
      <c r="A13" s="53">
        <v>1</v>
      </c>
      <c r="B13" s="3" t="s">
        <v>4</v>
      </c>
      <c r="AG13" s="26" t="s">
        <v>157</v>
      </c>
      <c r="AH13" s="26">
        <v>42</v>
      </c>
      <c r="AI13">
        <f>AH13/$AI$10</f>
        <v>67.40491092922484</v>
      </c>
      <c r="AJ13">
        <f>AJ28</f>
        <v>79</v>
      </c>
      <c r="AK13">
        <f>AJ13-AI13</f>
        <v>11.59508907077516</v>
      </c>
      <c r="AL13">
        <f>AH28</f>
        <v>20</v>
      </c>
      <c r="AM13">
        <f>AL13*AK13</f>
        <v>231.90178141550319</v>
      </c>
      <c r="AQ13" s="27"/>
      <c r="AR13" s="28"/>
      <c r="AS13" s="26"/>
      <c r="AT13" s="29"/>
    </row>
    <row r="14" spans="1:46" ht="12.75" customHeight="1" x14ac:dyDescent="0.35">
      <c r="B14" s="1" t="s">
        <v>5</v>
      </c>
      <c r="C14" s="32">
        <v>300.2</v>
      </c>
      <c r="D14" s="35">
        <v>0</v>
      </c>
      <c r="E14" s="32">
        <v>0</v>
      </c>
      <c r="F14" s="32"/>
      <c r="G14" s="35"/>
      <c r="H14" s="35"/>
      <c r="I14" s="32"/>
      <c r="J14" s="32"/>
      <c r="K14" s="35"/>
      <c r="L14" s="35"/>
      <c r="M14" s="32"/>
      <c r="N14" s="32"/>
      <c r="O14" s="32"/>
      <c r="P14" s="32"/>
      <c r="Q14" s="35"/>
      <c r="R14" s="35"/>
      <c r="S14" s="35"/>
      <c r="T14" s="35"/>
      <c r="U14" s="17"/>
      <c r="V14" s="17"/>
      <c r="W14" s="17"/>
      <c r="X14" s="17"/>
      <c r="Y14" s="17"/>
      <c r="Z14" s="17"/>
      <c r="AA14" s="17"/>
      <c r="AB14" s="17"/>
      <c r="AC14" s="17"/>
      <c r="AD14" s="17"/>
      <c r="AG14" s="26" t="s">
        <v>158</v>
      </c>
      <c r="AH14" s="26">
        <v>560</v>
      </c>
      <c r="AI14">
        <f>AH14/$AI$10</f>
        <v>898.73214572299798</v>
      </c>
      <c r="AJ14">
        <f>AJ24</f>
        <v>1034</v>
      </c>
      <c r="AK14">
        <f>AJ14-AI14</f>
        <v>135.26785427700202</v>
      </c>
      <c r="AL14">
        <f>AH25</f>
        <v>18</v>
      </c>
      <c r="AM14">
        <f>AL14*AK14</f>
        <v>2434.8213769860363</v>
      </c>
      <c r="AQ14" s="27"/>
      <c r="AR14" s="28"/>
      <c r="AS14" s="26"/>
      <c r="AT14" s="29"/>
    </row>
    <row r="15" spans="1:46" ht="12.75" customHeight="1" x14ac:dyDescent="0.35">
      <c r="A15" s="53"/>
      <c r="B15" s="1" t="s">
        <v>6</v>
      </c>
      <c r="C15" s="32">
        <v>600.78</v>
      </c>
      <c r="D15" s="35">
        <v>1746.29</v>
      </c>
      <c r="E15" s="32">
        <v>1031.3499999999999</v>
      </c>
      <c r="F15" s="32"/>
      <c r="G15" s="35">
        <v>1500</v>
      </c>
      <c r="H15" s="35"/>
      <c r="I15" s="75">
        <v>700</v>
      </c>
      <c r="J15" s="32"/>
      <c r="K15" s="35">
        <v>700</v>
      </c>
      <c r="L15" s="35"/>
      <c r="M15" s="32">
        <v>700</v>
      </c>
      <c r="N15" s="32"/>
      <c r="O15" s="32">
        <v>700</v>
      </c>
      <c r="P15" s="32"/>
      <c r="Q15" s="35"/>
      <c r="R15" s="35"/>
      <c r="S15" s="35"/>
      <c r="T15" s="35"/>
      <c r="U15" s="18"/>
      <c r="V15" s="18"/>
      <c r="W15" s="18"/>
      <c r="X15" s="18"/>
      <c r="Y15" s="18"/>
      <c r="Z15" s="18"/>
      <c r="AA15" s="18"/>
      <c r="AB15" s="18"/>
      <c r="AC15" s="18"/>
      <c r="AD15" s="18"/>
      <c r="AG15" s="26" t="s">
        <v>159</v>
      </c>
      <c r="AH15" s="26">
        <v>560</v>
      </c>
      <c r="AI15">
        <f>AH15/$AI$10</f>
        <v>898.73214572299798</v>
      </c>
      <c r="AJ15">
        <f>AJ25</f>
        <v>1034</v>
      </c>
      <c r="AK15">
        <f>AJ15-AI15</f>
        <v>135.26785427700202</v>
      </c>
      <c r="AL15">
        <f>AH24</f>
        <v>48</v>
      </c>
      <c r="AM15">
        <f>AL15*AK15</f>
        <v>6492.8570052960968</v>
      </c>
      <c r="AQ15" s="27"/>
      <c r="AR15" s="28"/>
      <c r="AS15" s="26"/>
      <c r="AT15" s="29"/>
    </row>
    <row r="16" spans="1:46" ht="12.75" customHeight="1" x14ac:dyDescent="0.35">
      <c r="A16" s="53"/>
      <c r="B16" s="1" t="s">
        <v>7</v>
      </c>
      <c r="C16" s="32">
        <v>6400.5</v>
      </c>
      <c r="D16" s="35">
        <v>0</v>
      </c>
      <c r="E16" s="32">
        <v>0</v>
      </c>
      <c r="F16" s="32"/>
      <c r="G16" s="35"/>
      <c r="H16" s="35"/>
      <c r="I16" s="32"/>
      <c r="J16" s="32"/>
      <c r="K16" s="35"/>
      <c r="L16" s="35"/>
      <c r="M16" s="32"/>
      <c r="N16" s="32"/>
      <c r="O16" s="32"/>
      <c r="P16" s="32"/>
      <c r="Q16" s="35"/>
      <c r="R16" s="35"/>
      <c r="S16" s="35"/>
      <c r="T16" s="35"/>
      <c r="U16" s="17"/>
      <c r="V16" s="23" t="s">
        <v>153</v>
      </c>
      <c r="W16" s="17"/>
      <c r="X16" s="17"/>
      <c r="Y16" s="17"/>
      <c r="Z16" s="17"/>
      <c r="AA16" s="17"/>
      <c r="AB16" s="17"/>
      <c r="AC16" s="17"/>
      <c r="AD16" s="17"/>
      <c r="AG16" s="26" t="s">
        <v>160</v>
      </c>
      <c r="AH16" s="26">
        <v>280</v>
      </c>
      <c r="AI16">
        <f>AH16/$AI$10</f>
        <v>449.36607286149899</v>
      </c>
      <c r="AJ16">
        <f>AJ26</f>
        <v>517</v>
      </c>
      <c r="AK16">
        <f>AJ16-AI16</f>
        <v>67.633927138501008</v>
      </c>
      <c r="AL16">
        <f>AH26</f>
        <v>10</v>
      </c>
      <c r="AM16">
        <f>AL16*AK16</f>
        <v>676.33927138501008</v>
      </c>
      <c r="AQ16" s="27"/>
      <c r="AR16" s="28"/>
      <c r="AS16" s="26"/>
      <c r="AT16" s="29"/>
    </row>
    <row r="17" spans="1:51" ht="12.75" customHeight="1" x14ac:dyDescent="0.35">
      <c r="A17" s="53"/>
      <c r="B17" s="1" t="s">
        <v>259</v>
      </c>
      <c r="C17" s="32">
        <f>51756.11-11082</f>
        <v>40674.11</v>
      </c>
      <c r="D17" s="35">
        <v>51895.6</v>
      </c>
      <c r="E17" s="32">
        <v>48127.17</v>
      </c>
      <c r="F17" s="32"/>
      <c r="G17" s="35">
        <f>1800000*0.025</f>
        <v>45000</v>
      </c>
      <c r="H17" s="35"/>
      <c r="I17" s="63">
        <f>1800000*0.025</f>
        <v>45000</v>
      </c>
      <c r="J17" s="32"/>
      <c r="K17" s="35">
        <f>1800000*0.02</f>
        <v>36000</v>
      </c>
      <c r="L17" s="35"/>
      <c r="M17" s="32">
        <f>1800000*0.02</f>
        <v>36000</v>
      </c>
      <c r="N17" s="32"/>
      <c r="O17" s="32">
        <f>(500000*0.02)+(1300000*0.01)</f>
        <v>23000</v>
      </c>
      <c r="P17" s="32" t="s">
        <v>260</v>
      </c>
      <c r="Q17" s="35" t="s">
        <v>210</v>
      </c>
      <c r="R17" s="35"/>
      <c r="S17" s="35"/>
      <c r="T17" s="35"/>
      <c r="U17" s="17"/>
      <c r="V17" s="17"/>
      <c r="W17" s="17"/>
      <c r="X17" s="17"/>
      <c r="Y17" s="17"/>
      <c r="Z17" s="17"/>
      <c r="AA17" s="17"/>
      <c r="AB17" s="17"/>
      <c r="AC17" s="17"/>
      <c r="AD17" s="17"/>
      <c r="AM17">
        <f>SUM(AM12:AM16)</f>
        <v>13615.918472155348</v>
      </c>
      <c r="AN17" t="s">
        <v>163</v>
      </c>
    </row>
    <row r="18" spans="1:51" ht="12.75" customHeight="1" x14ac:dyDescent="0.35">
      <c r="A18" s="53"/>
      <c r="B18" s="1"/>
      <c r="C18" s="1"/>
      <c r="F18" s="2"/>
    </row>
    <row r="19" spans="1:51" ht="12.75" customHeight="1" x14ac:dyDescent="0.35">
      <c r="A19" s="53"/>
      <c r="B19" s="5" t="s">
        <v>9</v>
      </c>
      <c r="C19" s="48">
        <f>SUM(C14:C18)</f>
        <v>47975.59</v>
      </c>
      <c r="D19" s="49">
        <f>SUM(D14:D17)</f>
        <v>53641.89</v>
      </c>
      <c r="E19" s="48">
        <f>SUM(E14:E17)</f>
        <v>49158.52</v>
      </c>
      <c r="F19" s="2"/>
      <c r="G19" s="49">
        <f>SUM(G14:G18)</f>
        <v>46500</v>
      </c>
      <c r="H19" s="49"/>
      <c r="I19" s="49">
        <f>SUM(I14:I18)</f>
        <v>45700</v>
      </c>
      <c r="J19" s="49"/>
      <c r="K19" s="49">
        <f>SUM(K14:K18)</f>
        <v>36700</v>
      </c>
      <c r="L19" s="35"/>
      <c r="M19" s="48">
        <f>SUM(M14:M18)</f>
        <v>36700</v>
      </c>
      <c r="N19" s="32"/>
      <c r="O19" s="48">
        <f>SUM(O14:O18)</f>
        <v>23700</v>
      </c>
      <c r="P19" s="32"/>
      <c r="Q19" s="35"/>
      <c r="R19" s="35"/>
      <c r="S19" s="35"/>
      <c r="T19" s="35"/>
      <c r="U19" s="3"/>
      <c r="V19" s="3"/>
      <c r="W19" s="3"/>
      <c r="X19" s="3"/>
      <c r="Y19" s="3"/>
      <c r="Z19" s="3"/>
      <c r="AA19" s="3"/>
      <c r="AB19" s="3"/>
      <c r="AC19" s="3"/>
      <c r="AD19" s="3"/>
    </row>
    <row r="20" spans="1:51" ht="12.75" customHeight="1" x14ac:dyDescent="0.35">
      <c r="A20" s="53"/>
    </row>
    <row r="21" spans="1:51" ht="12.75" customHeight="1" x14ac:dyDescent="0.35">
      <c r="A21" s="53">
        <v>2</v>
      </c>
      <c r="B21" s="3" t="s">
        <v>10</v>
      </c>
      <c r="AM21" s="11">
        <v>2.1000000000000001E-2</v>
      </c>
      <c r="AQ21" t="s">
        <v>141</v>
      </c>
    </row>
    <row r="22" spans="1:51" ht="12.75" customHeight="1" x14ac:dyDescent="0.35">
      <c r="A22" s="53"/>
      <c r="F22">
        <v>2019</v>
      </c>
      <c r="AL22" t="s">
        <v>142</v>
      </c>
      <c r="AO22" t="s">
        <v>145</v>
      </c>
      <c r="AQ22" t="s">
        <v>146</v>
      </c>
      <c r="AT22" t="s">
        <v>147</v>
      </c>
      <c r="AV22" t="s">
        <v>148</v>
      </c>
      <c r="AW22" t="s">
        <v>149</v>
      </c>
      <c r="AX22" t="s">
        <v>150</v>
      </c>
    </row>
    <row r="23" spans="1:51" ht="12.75" customHeight="1" x14ac:dyDescent="0.35">
      <c r="A23" s="53"/>
      <c r="B23" s="3" t="s">
        <v>11</v>
      </c>
      <c r="Q23" s="34" t="s">
        <v>184</v>
      </c>
      <c r="AH23" t="s">
        <v>133</v>
      </c>
      <c r="AI23" t="s">
        <v>139</v>
      </c>
      <c r="AJ23" t="s">
        <v>140</v>
      </c>
      <c r="AK23" t="s">
        <v>141</v>
      </c>
      <c r="AO23" t="s">
        <v>143</v>
      </c>
    </row>
    <row r="24" spans="1:51" ht="12.75" customHeight="1" x14ac:dyDescent="0.35">
      <c r="A24" s="53"/>
      <c r="B24" s="1" t="s">
        <v>12</v>
      </c>
      <c r="C24" s="32">
        <v>92305.01</v>
      </c>
      <c r="D24" s="35">
        <v>135575.70000000001</v>
      </c>
      <c r="E24" s="32">
        <v>139584.59</v>
      </c>
      <c r="F24" s="64">
        <v>142925</v>
      </c>
      <c r="G24" s="35">
        <f>AY24+AY25</f>
        <v>144776.85545454547</v>
      </c>
      <c r="H24" s="35"/>
      <c r="I24" s="32">
        <f>F24*1.05</f>
        <v>150071.25</v>
      </c>
      <c r="J24" s="32"/>
      <c r="K24" s="35">
        <f>I24*1.05</f>
        <v>157574.8125</v>
      </c>
      <c r="L24" s="35"/>
      <c r="M24" s="32">
        <f>K24*1.05</f>
        <v>165453.55312500001</v>
      </c>
      <c r="N24" s="32"/>
      <c r="O24" s="32">
        <f>M24*1.05</f>
        <v>173726.23078125002</v>
      </c>
      <c r="P24" s="32"/>
      <c r="Q24" s="35"/>
      <c r="R24" s="35"/>
      <c r="S24" s="35"/>
      <c r="T24" s="35"/>
      <c r="U24" s="17"/>
      <c r="V24" s="17"/>
      <c r="W24" s="17"/>
      <c r="X24" s="17"/>
      <c r="Y24" s="17"/>
      <c r="Z24" s="17"/>
      <c r="AA24" s="17"/>
      <c r="AB24" s="17"/>
      <c r="AC24" s="17"/>
      <c r="AD24" s="17"/>
      <c r="AG24" t="s">
        <v>134</v>
      </c>
      <c r="AH24">
        <v>48</v>
      </c>
      <c r="AI24">
        <v>51</v>
      </c>
      <c r="AJ24">
        <v>1034</v>
      </c>
      <c r="AK24">
        <v>808</v>
      </c>
      <c r="AL24">
        <f>AK24+AJ24</f>
        <v>1842</v>
      </c>
      <c r="AM24">
        <f t="shared" ref="AM24:AM29" si="0">AL24*$AM$21</f>
        <v>38.682000000000002</v>
      </c>
      <c r="AN24" s="13">
        <f t="shared" ref="AN24:AN29" si="1">AM24+AL24</f>
        <v>1880.682</v>
      </c>
      <c r="AO24">
        <v>1880</v>
      </c>
      <c r="AQ24">
        <f t="shared" ref="AQ24:AQ29" si="2">AK24-(AK24/1/11)</f>
        <v>734.5454545454545</v>
      </c>
      <c r="AR24">
        <f t="shared" ref="AR24:AR29" si="3">AQ24+(AQ24*$AM$21)</f>
        <v>749.970909090909</v>
      </c>
      <c r="AT24" s="12">
        <f t="shared" ref="AT24:AT29" si="4">AI24*AR24</f>
        <v>38248.516363636358</v>
      </c>
      <c r="AV24">
        <f t="shared" ref="AV24:AV29" si="5">AJ24*AI24</f>
        <v>52734</v>
      </c>
      <c r="AW24" s="14">
        <f>E24/2</f>
        <v>69792.294999999998</v>
      </c>
      <c r="AX24">
        <f t="shared" ref="AX24:AX29" si="6">AT24/2</f>
        <v>19124.258181818179</v>
      </c>
      <c r="AY24" s="14">
        <f t="shared" ref="AY24:AY29" si="7">AX24+AW24</f>
        <v>88916.553181818177</v>
      </c>
    </row>
    <row r="25" spans="1:51" ht="12.75" customHeight="1" x14ac:dyDescent="0.35">
      <c r="A25" s="53"/>
      <c r="B25" s="1" t="s">
        <v>13</v>
      </c>
      <c r="C25" s="32">
        <v>283.39999999999998</v>
      </c>
      <c r="D25" s="35">
        <v>1470.36</v>
      </c>
      <c r="E25" s="32">
        <v>2154.79</v>
      </c>
      <c r="F25" s="64">
        <v>2640.08</v>
      </c>
      <c r="G25" s="35">
        <f>D25</f>
        <v>1470.36</v>
      </c>
      <c r="H25" s="35"/>
      <c r="I25" s="32">
        <f t="shared" ref="I25:I30" si="8">F25*1.05</f>
        <v>2772.0839999999998</v>
      </c>
      <c r="J25" s="32"/>
      <c r="K25" s="35">
        <f t="shared" ref="K25:M30" si="9">I25*1.05</f>
        <v>2910.6882000000001</v>
      </c>
      <c r="L25" s="238"/>
      <c r="M25" s="32">
        <f t="shared" si="9"/>
        <v>3056.2226100000003</v>
      </c>
      <c r="N25" s="32"/>
      <c r="O25" s="32">
        <f t="shared" ref="O25:O30" si="10">M25*1.05</f>
        <v>3209.0337405000005</v>
      </c>
      <c r="P25" s="32"/>
      <c r="Q25" s="35"/>
      <c r="R25" s="35"/>
      <c r="S25" s="35"/>
      <c r="T25" s="35"/>
      <c r="U25" s="17"/>
      <c r="V25" s="17" t="s">
        <v>154</v>
      </c>
      <c r="W25" s="17"/>
      <c r="X25" s="17"/>
      <c r="Y25" s="17"/>
      <c r="Z25" s="17"/>
      <c r="AA25" s="17"/>
      <c r="AB25" s="17"/>
      <c r="AC25" s="17"/>
      <c r="AD25" s="17"/>
      <c r="AG25" t="s">
        <v>135</v>
      </c>
      <c r="AH25">
        <v>18</v>
      </c>
      <c r="AI25">
        <v>19</v>
      </c>
      <c r="AJ25">
        <v>1034</v>
      </c>
      <c r="AK25">
        <v>6335</v>
      </c>
      <c r="AL25">
        <f>AK25+AJ25</f>
        <v>7369</v>
      </c>
      <c r="AM25">
        <f t="shared" si="0"/>
        <v>154.74900000000002</v>
      </c>
      <c r="AN25" s="13">
        <f t="shared" si="1"/>
        <v>7523.7489999999998</v>
      </c>
      <c r="AO25">
        <v>7525</v>
      </c>
      <c r="AQ25">
        <f t="shared" si="2"/>
        <v>5759.090909090909</v>
      </c>
      <c r="AR25">
        <f t="shared" si="3"/>
        <v>5880.0318181818184</v>
      </c>
      <c r="AT25" s="12">
        <f t="shared" si="4"/>
        <v>111720.60454545455</v>
      </c>
      <c r="AV25">
        <f t="shared" si="5"/>
        <v>19646</v>
      </c>
      <c r="AX25">
        <f t="shared" si="6"/>
        <v>55860.302272727276</v>
      </c>
      <c r="AY25" s="14">
        <f t="shared" si="7"/>
        <v>55860.302272727276</v>
      </c>
    </row>
    <row r="26" spans="1:51" ht="12.75" customHeight="1" x14ac:dyDescent="0.35">
      <c r="A26" s="53"/>
      <c r="B26" s="1" t="s">
        <v>14</v>
      </c>
      <c r="C26" s="32">
        <v>3055.48</v>
      </c>
      <c r="D26" s="35">
        <v>3331.86</v>
      </c>
      <c r="E26" s="32">
        <v>3566.38</v>
      </c>
      <c r="F26" s="64">
        <v>4248.18</v>
      </c>
      <c r="G26" s="35">
        <f>AY26</f>
        <v>3845.6099999999997</v>
      </c>
      <c r="H26" s="35"/>
      <c r="I26" s="32">
        <f t="shared" si="8"/>
        <v>4460.5890000000009</v>
      </c>
      <c r="J26" s="32"/>
      <c r="K26" s="35">
        <f t="shared" si="9"/>
        <v>4683.6184500000008</v>
      </c>
      <c r="L26" s="35"/>
      <c r="M26" s="32">
        <f t="shared" si="9"/>
        <v>4917.7993725000015</v>
      </c>
      <c r="N26" s="32"/>
      <c r="O26" s="32">
        <f t="shared" si="10"/>
        <v>5163.6893411250021</v>
      </c>
      <c r="P26" s="32"/>
      <c r="Q26" s="35"/>
      <c r="R26" s="35"/>
      <c r="S26" s="35"/>
      <c r="T26" s="35"/>
      <c r="U26" s="17"/>
      <c r="V26" s="17"/>
      <c r="W26" s="17"/>
      <c r="X26" s="17"/>
      <c r="Y26" s="17"/>
      <c r="Z26" s="17"/>
      <c r="AA26" s="17"/>
      <c r="AB26" s="17"/>
      <c r="AC26" s="17"/>
      <c r="AD26" s="17"/>
      <c r="AG26" t="s">
        <v>136</v>
      </c>
      <c r="AH26">
        <v>10</v>
      </c>
      <c r="AI26">
        <v>11</v>
      </c>
      <c r="AJ26">
        <v>517</v>
      </c>
      <c r="AK26">
        <v>404</v>
      </c>
      <c r="AL26">
        <f>AK26+AJ26</f>
        <v>921</v>
      </c>
      <c r="AM26">
        <f t="shared" si="0"/>
        <v>19.341000000000001</v>
      </c>
      <c r="AN26" s="13">
        <f t="shared" si="1"/>
        <v>940.34100000000001</v>
      </c>
      <c r="AO26">
        <v>940</v>
      </c>
      <c r="AQ26">
        <f t="shared" si="2"/>
        <v>367.27272727272725</v>
      </c>
      <c r="AR26">
        <f t="shared" si="3"/>
        <v>374.9854545454545</v>
      </c>
      <c r="AT26" s="12">
        <f t="shared" si="4"/>
        <v>4124.8399999999992</v>
      </c>
      <c r="AV26">
        <f t="shared" si="5"/>
        <v>5687</v>
      </c>
      <c r="AW26" s="14">
        <f>E26/2</f>
        <v>1783.19</v>
      </c>
      <c r="AX26">
        <f t="shared" si="6"/>
        <v>2062.4199999999996</v>
      </c>
      <c r="AY26" s="14">
        <f t="shared" si="7"/>
        <v>3845.6099999999997</v>
      </c>
    </row>
    <row r="27" spans="1:51" ht="12.75" customHeight="1" x14ac:dyDescent="0.35">
      <c r="A27" s="53"/>
      <c r="B27" s="1" t="s">
        <v>15</v>
      </c>
      <c r="C27" s="32">
        <v>0</v>
      </c>
      <c r="D27" s="35">
        <v>71.819999999999993</v>
      </c>
      <c r="E27" s="32">
        <v>146.83000000000001</v>
      </c>
      <c r="F27" s="64">
        <v>951.3599999999999</v>
      </c>
      <c r="G27" s="35">
        <f>AK27</f>
        <v>165</v>
      </c>
      <c r="H27" s="35"/>
      <c r="I27" s="32">
        <f t="shared" si="8"/>
        <v>998.92799999999988</v>
      </c>
      <c r="J27" s="32"/>
      <c r="K27" s="35">
        <f t="shared" si="9"/>
        <v>1048.8743999999999</v>
      </c>
      <c r="L27" s="35"/>
      <c r="M27" s="32">
        <f t="shared" si="9"/>
        <v>1101.3181199999999</v>
      </c>
      <c r="N27" s="32"/>
      <c r="O27" s="32">
        <f t="shared" si="10"/>
        <v>1156.3840259999999</v>
      </c>
      <c r="P27" s="32"/>
      <c r="Q27" s="35"/>
      <c r="R27" s="35"/>
      <c r="S27" s="35"/>
      <c r="T27" s="35"/>
      <c r="U27" s="17"/>
      <c r="V27" s="17"/>
      <c r="W27" s="17"/>
      <c r="X27" s="17"/>
      <c r="Y27" s="17"/>
      <c r="Z27" s="17"/>
      <c r="AA27" s="17"/>
      <c r="AB27" s="17"/>
      <c r="AC27" s="17"/>
      <c r="AD27" s="17"/>
      <c r="AG27" t="s">
        <v>137</v>
      </c>
      <c r="AH27">
        <v>155</v>
      </c>
      <c r="AI27">
        <v>163</v>
      </c>
      <c r="AJ27">
        <v>158</v>
      </c>
      <c r="AK27">
        <v>165</v>
      </c>
      <c r="AL27">
        <f>AK27+AJ27</f>
        <v>323</v>
      </c>
      <c r="AM27">
        <f t="shared" si="0"/>
        <v>6.7830000000000004</v>
      </c>
      <c r="AN27" s="13">
        <f t="shared" si="1"/>
        <v>329.78300000000002</v>
      </c>
      <c r="AO27">
        <v>330</v>
      </c>
      <c r="AQ27">
        <f t="shared" si="2"/>
        <v>150</v>
      </c>
      <c r="AR27">
        <f t="shared" si="3"/>
        <v>153.15</v>
      </c>
      <c r="AT27" s="12">
        <f t="shared" si="4"/>
        <v>24963.45</v>
      </c>
      <c r="AV27">
        <f t="shared" si="5"/>
        <v>25754</v>
      </c>
      <c r="AW27" s="14">
        <f>E28/2</f>
        <v>11693.4</v>
      </c>
      <c r="AX27">
        <f t="shared" si="6"/>
        <v>12481.725</v>
      </c>
      <c r="AY27" s="14">
        <f t="shared" si="7"/>
        <v>24175.125</v>
      </c>
    </row>
    <row r="28" spans="1:51" ht="12.75" customHeight="1" x14ac:dyDescent="0.35">
      <c r="A28" s="53"/>
      <c r="B28" s="1" t="s">
        <v>16</v>
      </c>
      <c r="C28" s="32">
        <v>18030.939999999999</v>
      </c>
      <c r="D28" s="35">
        <v>18988.36</v>
      </c>
      <c r="E28" s="32">
        <v>23386.799999999999</v>
      </c>
      <c r="F28" s="64">
        <v>23698.639999999999</v>
      </c>
      <c r="G28" s="35">
        <f>AY27</f>
        <v>24175.125</v>
      </c>
      <c r="H28" s="35"/>
      <c r="I28" s="32">
        <f t="shared" si="8"/>
        <v>24883.572</v>
      </c>
      <c r="J28" s="32"/>
      <c r="K28" s="35">
        <f t="shared" si="9"/>
        <v>26127.750600000003</v>
      </c>
      <c r="L28" s="35"/>
      <c r="M28" s="32">
        <f t="shared" si="9"/>
        <v>27434.138130000003</v>
      </c>
      <c r="N28" s="32"/>
      <c r="O28" s="32">
        <f t="shared" si="10"/>
        <v>28805.845036500003</v>
      </c>
      <c r="P28" s="32"/>
      <c r="Q28" s="35"/>
      <c r="R28" s="35"/>
      <c r="S28" s="35"/>
      <c r="T28" s="35"/>
      <c r="U28" s="17"/>
      <c r="V28" s="17"/>
      <c r="W28" s="17"/>
      <c r="X28" s="17"/>
      <c r="Y28" s="17"/>
      <c r="Z28" s="17"/>
      <c r="AA28" s="17"/>
      <c r="AB28" s="17"/>
      <c r="AC28" s="17"/>
      <c r="AD28" s="17"/>
      <c r="AG28" t="s">
        <v>138</v>
      </c>
      <c r="AH28">
        <v>20</v>
      </c>
      <c r="AI28">
        <f>AH28*1.05</f>
        <v>21</v>
      </c>
      <c r="AJ28">
        <v>79</v>
      </c>
      <c r="AK28">
        <v>82</v>
      </c>
      <c r="AL28">
        <f>AK28+AJ28</f>
        <v>161</v>
      </c>
      <c r="AM28">
        <f t="shared" si="0"/>
        <v>3.3810000000000002</v>
      </c>
      <c r="AN28" s="13">
        <f t="shared" si="1"/>
        <v>164.381</v>
      </c>
      <c r="AO28">
        <v>165</v>
      </c>
      <c r="AQ28">
        <f t="shared" si="2"/>
        <v>74.545454545454547</v>
      </c>
      <c r="AR28">
        <f t="shared" si="3"/>
        <v>76.11090909090909</v>
      </c>
      <c r="AT28" s="12">
        <f t="shared" si="4"/>
        <v>1598.3290909090908</v>
      </c>
      <c r="AV28">
        <f t="shared" si="5"/>
        <v>1659</v>
      </c>
      <c r="AW28" s="14">
        <f>E29/2</f>
        <v>769.71500000000003</v>
      </c>
      <c r="AX28">
        <f t="shared" si="6"/>
        <v>799.16454545454542</v>
      </c>
      <c r="AY28" s="14">
        <f t="shared" si="7"/>
        <v>1568.8795454545455</v>
      </c>
    </row>
    <row r="29" spans="1:51" ht="12.75" customHeight="1" x14ac:dyDescent="0.35">
      <c r="A29" s="53"/>
      <c r="B29" s="1" t="s">
        <v>17</v>
      </c>
      <c r="C29" s="32">
        <v>224.93</v>
      </c>
      <c r="D29" s="35">
        <v>906.55</v>
      </c>
      <c r="E29" s="32">
        <v>1539.43</v>
      </c>
      <c r="F29" s="64">
        <v>2089.17</v>
      </c>
      <c r="G29" s="35">
        <f>AY28</f>
        <v>1568.8795454545455</v>
      </c>
      <c r="H29" s="35"/>
      <c r="I29" s="32">
        <f t="shared" si="8"/>
        <v>2193.6285000000003</v>
      </c>
      <c r="J29" s="32"/>
      <c r="K29" s="35">
        <f t="shared" si="9"/>
        <v>2303.3099250000005</v>
      </c>
      <c r="L29" s="35"/>
      <c r="M29" s="32">
        <f t="shared" si="9"/>
        <v>2418.4754212500006</v>
      </c>
      <c r="N29" s="32"/>
      <c r="O29" s="32">
        <f t="shared" si="10"/>
        <v>2539.3991923125009</v>
      </c>
      <c r="P29" s="32"/>
      <c r="Q29" s="35"/>
      <c r="R29" s="35"/>
      <c r="S29" s="35"/>
      <c r="T29" s="35"/>
      <c r="U29" s="17"/>
      <c r="V29" s="17"/>
      <c r="W29" s="17"/>
      <c r="X29" s="17"/>
      <c r="Y29" s="17"/>
      <c r="Z29" s="17"/>
      <c r="AA29" s="17"/>
      <c r="AB29" s="17"/>
      <c r="AC29" s="17"/>
      <c r="AD29" s="17"/>
      <c r="AG29" t="s">
        <v>144</v>
      </c>
      <c r="AH29">
        <v>332</v>
      </c>
      <c r="AI29">
        <v>339</v>
      </c>
      <c r="AK29">
        <v>886</v>
      </c>
      <c r="AL29">
        <f>AK29</f>
        <v>886</v>
      </c>
      <c r="AM29">
        <f t="shared" si="0"/>
        <v>18.606000000000002</v>
      </c>
      <c r="AN29" s="13">
        <f t="shared" si="1"/>
        <v>904.60599999999999</v>
      </c>
      <c r="AO29">
        <v>900</v>
      </c>
      <c r="AQ29">
        <f t="shared" si="2"/>
        <v>805.4545454545455</v>
      </c>
      <c r="AR29">
        <f t="shared" si="3"/>
        <v>822.36909090909091</v>
      </c>
      <c r="AT29" s="12">
        <f t="shared" si="4"/>
        <v>278783.12181818183</v>
      </c>
      <c r="AV29">
        <f t="shared" si="5"/>
        <v>0</v>
      </c>
      <c r="AW29" s="14">
        <f>E39/2</f>
        <v>121582.81999999999</v>
      </c>
      <c r="AX29">
        <f t="shared" si="6"/>
        <v>139391.56090909091</v>
      </c>
      <c r="AY29" s="14">
        <f t="shared" si="7"/>
        <v>260974.38090909092</v>
      </c>
    </row>
    <row r="30" spans="1:51" ht="12.75" customHeight="1" x14ac:dyDescent="0.35">
      <c r="A30" s="53"/>
      <c r="B30" s="1" t="s">
        <v>18</v>
      </c>
      <c r="C30" s="32">
        <v>-692.46</v>
      </c>
      <c r="D30" s="35">
        <v>-2290.44</v>
      </c>
      <c r="E30" s="32">
        <v>-3248.64</v>
      </c>
      <c r="F30" s="64">
        <v>-3226.08</v>
      </c>
      <c r="G30" s="35">
        <f>E30*1.021</f>
        <v>-3316.8614399999997</v>
      </c>
      <c r="H30" s="35"/>
      <c r="I30" s="32">
        <f t="shared" si="8"/>
        <v>-3387.384</v>
      </c>
      <c r="J30" s="32"/>
      <c r="K30" s="35">
        <f t="shared" si="9"/>
        <v>-3556.7532000000001</v>
      </c>
      <c r="L30" s="35"/>
      <c r="M30" s="32">
        <f t="shared" si="9"/>
        <v>-3734.5908600000002</v>
      </c>
      <c r="N30" s="32"/>
      <c r="O30" s="32">
        <f t="shared" si="10"/>
        <v>-3921.3204030000006</v>
      </c>
      <c r="P30" s="32"/>
      <c r="Q30" s="35"/>
      <c r="R30" s="35"/>
      <c r="S30" s="35"/>
      <c r="T30" s="35"/>
      <c r="U30" s="17"/>
      <c r="V30" s="17"/>
      <c r="W30" s="17"/>
      <c r="X30" s="17"/>
      <c r="Y30" s="17"/>
      <c r="Z30" s="17"/>
      <c r="AA30" s="17"/>
      <c r="AB30" s="17"/>
      <c r="AC30" s="17"/>
      <c r="AD30" s="17"/>
      <c r="AT30" s="12">
        <f>SUM(AT24:AT29)</f>
        <v>459438.86181818182</v>
      </c>
      <c r="AV30">
        <f>SUM(AV24:AV29)</f>
        <v>105480</v>
      </c>
      <c r="AY30" s="14">
        <f>SUM(AY24:AY29)</f>
        <v>435340.85090909095</v>
      </c>
    </row>
    <row r="31" spans="1:51" ht="12.75" customHeight="1" x14ac:dyDescent="0.35">
      <c r="A31" s="53"/>
      <c r="C31" s="32"/>
      <c r="D31" s="35"/>
      <c r="E31" s="32">
        <f>SUM(E24:E30)</f>
        <v>167130.17999999996</v>
      </c>
      <c r="F31" s="32">
        <f>E31+E50</f>
        <v>270349.34999999998</v>
      </c>
      <c r="G31" s="32">
        <f>SUM(G24:G30)</f>
        <v>172684.96855999998</v>
      </c>
      <c r="H31" s="32">
        <f>G31+G50</f>
        <v>278164.96855999995</v>
      </c>
      <c r="I31" s="32">
        <f>SUM(I24:I30)</f>
        <v>181992.66750000001</v>
      </c>
      <c r="J31" s="32">
        <f>I31+I50</f>
        <v>287472.66749999998</v>
      </c>
      <c r="K31" s="32">
        <f>SUM(K24:K30)</f>
        <v>191092.30087500002</v>
      </c>
      <c r="L31" s="32">
        <f>K31+K50</f>
        <v>301846.30087500002</v>
      </c>
      <c r="M31" s="32">
        <f>SUM(M24:M30)</f>
        <v>200646.91591875005</v>
      </c>
      <c r="N31" s="32"/>
      <c r="O31" s="32">
        <f>SUM(O24:O30)</f>
        <v>210679.26171468751</v>
      </c>
      <c r="P31" s="32"/>
      <c r="Q31" s="32"/>
      <c r="R31" s="32"/>
      <c r="S31" s="32"/>
      <c r="T31" s="32"/>
      <c r="U31" s="17"/>
      <c r="V31" s="17"/>
      <c r="W31" s="17"/>
      <c r="X31" s="17"/>
      <c r="Y31" s="17"/>
      <c r="Z31" s="17"/>
      <c r="AA31" s="17"/>
      <c r="AB31" s="17"/>
      <c r="AC31" s="17"/>
      <c r="AD31" s="17"/>
    </row>
    <row r="32" spans="1:51" ht="12.75" customHeight="1" x14ac:dyDescent="0.35">
      <c r="A32" s="53">
        <v>2.1</v>
      </c>
      <c r="B32" s="3" t="s">
        <v>19</v>
      </c>
      <c r="C32" s="32"/>
      <c r="D32" s="35"/>
      <c r="E32" s="32"/>
      <c r="F32" s="32"/>
      <c r="G32" s="35"/>
      <c r="H32" s="35"/>
      <c r="I32" s="32"/>
      <c r="J32" s="32"/>
      <c r="K32" s="35"/>
      <c r="L32" s="35"/>
      <c r="M32" s="32"/>
      <c r="N32" s="32"/>
      <c r="O32" s="32"/>
      <c r="P32" s="32"/>
      <c r="Q32" s="35"/>
      <c r="R32" s="35"/>
      <c r="S32" s="35"/>
      <c r="T32" s="35"/>
      <c r="U32" s="17"/>
      <c r="V32" s="17"/>
      <c r="W32" s="17"/>
      <c r="X32" s="17"/>
      <c r="Y32" s="17"/>
      <c r="Z32" s="17"/>
      <c r="AA32" s="17"/>
      <c r="AB32" s="17"/>
      <c r="AC32" s="17"/>
      <c r="AD32" s="17"/>
      <c r="AT32" s="14"/>
    </row>
    <row r="33" spans="1:49" ht="12.75" customHeight="1" x14ac:dyDescent="0.35">
      <c r="A33" s="53"/>
      <c r="B33" s="1" t="s">
        <v>20</v>
      </c>
      <c r="C33" s="32">
        <v>-5863.86</v>
      </c>
      <c r="D33" s="35">
        <v>-13764.17</v>
      </c>
      <c r="E33" s="32">
        <v>-7206.01</v>
      </c>
      <c r="F33" s="64">
        <v>-4158.72</v>
      </c>
      <c r="G33" s="35">
        <f t="shared" ref="G33:G38" si="11">AV33*$G$39</f>
        <v>-7733.757115416136</v>
      </c>
      <c r="H33" s="35"/>
      <c r="I33" s="32">
        <f>F33*1.05</f>
        <v>-4366.6560000000009</v>
      </c>
      <c r="J33" s="32"/>
      <c r="K33" s="35">
        <f>I33*1.05</f>
        <v>-4584.988800000001</v>
      </c>
      <c r="L33" s="35"/>
      <c r="M33" s="32">
        <f>K33*1.05</f>
        <v>-4814.2382400000015</v>
      </c>
      <c r="N33" s="32"/>
      <c r="O33" s="32">
        <f>M33*1.02</f>
        <v>-4910.5230048000012</v>
      </c>
      <c r="P33" s="134" t="s">
        <v>266</v>
      </c>
      <c r="Q33" s="35"/>
      <c r="R33" s="35"/>
      <c r="S33" s="35"/>
      <c r="T33" s="35"/>
      <c r="U33" s="17"/>
      <c r="V33" s="17"/>
      <c r="W33" s="17"/>
      <c r="X33" s="17"/>
      <c r="Y33" s="17"/>
      <c r="Z33" s="17"/>
      <c r="AA33" s="17"/>
      <c r="AB33" s="17"/>
      <c r="AC33" s="17"/>
      <c r="AD33" s="17"/>
      <c r="AU33" s="14"/>
      <c r="AV33">
        <f>E33/$E$39</f>
        <v>-2.963416212915608E-2</v>
      </c>
      <c r="AW33" t="s">
        <v>151</v>
      </c>
    </row>
    <row r="34" spans="1:49" ht="12.75" customHeight="1" x14ac:dyDescent="0.35">
      <c r="A34" s="53"/>
      <c r="B34" s="1" t="s">
        <v>21</v>
      </c>
      <c r="C34" s="32">
        <v>220698.66</v>
      </c>
      <c r="D34" s="35">
        <v>213147.31</v>
      </c>
      <c r="E34" s="32">
        <v>208917.02</v>
      </c>
      <c r="F34" s="64">
        <v>210011.14</v>
      </c>
      <c r="G34" s="35">
        <f t="shared" si="11"/>
        <v>224217.49205961899</v>
      </c>
      <c r="H34" s="35"/>
      <c r="I34" s="32">
        <f>F34*1.05</f>
        <v>220511.69700000001</v>
      </c>
      <c r="J34" s="32"/>
      <c r="K34" s="35">
        <f t="shared" ref="K34:M39" si="12">I34*1.05</f>
        <v>231537.28185000003</v>
      </c>
      <c r="L34" s="35"/>
      <c r="M34" s="32">
        <f t="shared" si="12"/>
        <v>243114.14594250004</v>
      </c>
      <c r="N34" s="32"/>
      <c r="O34" s="32">
        <f t="shared" ref="O34:O38" si="13">M34*1.02</f>
        <v>247976.42886135005</v>
      </c>
      <c r="P34" s="32"/>
      <c r="Q34" s="35"/>
      <c r="R34" s="35"/>
      <c r="S34" s="35"/>
      <c r="T34" s="35"/>
      <c r="U34" s="17"/>
      <c r="V34" s="17"/>
      <c r="W34" s="17"/>
      <c r="X34" s="17"/>
      <c r="Y34" s="17"/>
      <c r="Z34" s="17"/>
      <c r="AA34" s="17"/>
      <c r="AB34" s="17"/>
      <c r="AC34" s="17"/>
      <c r="AD34" s="17"/>
      <c r="AV34">
        <f t="shared" ref="AV34:AV39" si="14">E34/$E$39</f>
        <v>0.85915518327342633</v>
      </c>
    </row>
    <row r="35" spans="1:49" ht="12.75" customHeight="1" x14ac:dyDescent="0.35">
      <c r="A35" s="53"/>
      <c r="B35" s="1" t="s">
        <v>22</v>
      </c>
      <c r="C35" s="32">
        <v>700</v>
      </c>
      <c r="D35" s="35">
        <v>2764.98</v>
      </c>
      <c r="E35" s="32">
        <v>1920.12</v>
      </c>
      <c r="G35" s="35">
        <f t="shared" si="11"/>
        <v>2060.7439779368651</v>
      </c>
      <c r="H35" s="35"/>
      <c r="I35" s="32">
        <f>F35*1.05</f>
        <v>0</v>
      </c>
      <c r="J35" s="32"/>
      <c r="K35" s="35">
        <f t="shared" si="12"/>
        <v>0</v>
      </c>
      <c r="L35" s="35"/>
      <c r="M35" s="32">
        <f t="shared" si="12"/>
        <v>0</v>
      </c>
      <c r="N35" s="32"/>
      <c r="O35" s="32">
        <f t="shared" si="13"/>
        <v>0</v>
      </c>
      <c r="P35" s="32"/>
      <c r="Q35" s="35"/>
      <c r="R35" s="35"/>
      <c r="S35" s="35"/>
      <c r="T35" s="35"/>
      <c r="U35" s="17"/>
      <c r="V35" s="17"/>
      <c r="W35" s="17"/>
      <c r="X35" s="17"/>
      <c r="Y35" s="17"/>
      <c r="Z35" s="17"/>
      <c r="AA35" s="17"/>
      <c r="AB35" s="17"/>
      <c r="AC35" s="17"/>
      <c r="AD35" s="17"/>
      <c r="AV35">
        <f t="shared" si="14"/>
        <v>7.8963458817619143E-3</v>
      </c>
    </row>
    <row r="36" spans="1:49" ht="12.75" customHeight="1" x14ac:dyDescent="0.35">
      <c r="A36" s="53"/>
      <c r="B36" s="1" t="s">
        <v>23</v>
      </c>
      <c r="C36" s="32">
        <v>7175.72</v>
      </c>
      <c r="D36" s="35">
        <v>6875.7</v>
      </c>
      <c r="E36" s="32">
        <v>7683.48</v>
      </c>
      <c r="F36" s="64">
        <v>8325.66</v>
      </c>
      <c r="G36" s="35">
        <f t="shared" si="11"/>
        <v>8246.1956229810348</v>
      </c>
      <c r="H36" s="35"/>
      <c r="I36" s="32">
        <f>F36*1.05</f>
        <v>8741.9430000000011</v>
      </c>
      <c r="J36" s="32"/>
      <c r="K36" s="35">
        <f t="shared" si="12"/>
        <v>9179.0401500000007</v>
      </c>
      <c r="L36" s="35"/>
      <c r="M36" s="32">
        <f t="shared" si="12"/>
        <v>9637.9921575000008</v>
      </c>
      <c r="N36" s="32"/>
      <c r="O36" s="32">
        <f t="shared" si="13"/>
        <v>9830.7520006500017</v>
      </c>
      <c r="P36" s="32"/>
      <c r="Q36" s="35"/>
      <c r="R36" s="35"/>
      <c r="S36" s="35"/>
      <c r="T36" s="35"/>
      <c r="U36" s="17"/>
      <c r="V36" s="17"/>
      <c r="W36" s="17"/>
      <c r="X36" s="17"/>
      <c r="Y36" s="17"/>
      <c r="Z36" s="17"/>
      <c r="AA36" s="17"/>
      <c r="AB36" s="17"/>
      <c r="AC36" s="17"/>
      <c r="AD36" s="17"/>
      <c r="AV36">
        <f t="shared" si="14"/>
        <v>3.1597720796408574E-2</v>
      </c>
    </row>
    <row r="37" spans="1:49" ht="12.75" customHeight="1" x14ac:dyDescent="0.35">
      <c r="A37" s="53"/>
      <c r="B37" s="1" t="s">
        <v>24</v>
      </c>
      <c r="C37" s="32">
        <v>23058.73</v>
      </c>
      <c r="D37" s="35">
        <v>29613.75</v>
      </c>
      <c r="E37" s="32">
        <v>32048.54</v>
      </c>
      <c r="F37" s="64">
        <v>32348.420000000002</v>
      </c>
      <c r="G37" s="35">
        <f t="shared" si="11"/>
        <v>34395.68141921793</v>
      </c>
      <c r="H37" s="35"/>
      <c r="I37" s="32">
        <f>F37*1.05</f>
        <v>33965.841</v>
      </c>
      <c r="J37" s="32"/>
      <c r="K37" s="35">
        <f t="shared" si="12"/>
        <v>35664.133050000004</v>
      </c>
      <c r="L37" s="35"/>
      <c r="M37" s="32">
        <f t="shared" si="12"/>
        <v>37447.339702500009</v>
      </c>
      <c r="N37" s="32"/>
      <c r="O37" s="32">
        <f t="shared" si="13"/>
        <v>38196.286496550012</v>
      </c>
      <c r="P37" s="32"/>
      <c r="Q37" s="35"/>
      <c r="R37" s="35"/>
      <c r="S37" s="35"/>
      <c r="T37" s="35"/>
      <c r="U37" s="17"/>
      <c r="V37" s="17"/>
      <c r="W37" s="17"/>
      <c r="X37" s="17"/>
      <c r="Y37" s="17"/>
      <c r="Z37" s="17"/>
      <c r="AA37" s="17"/>
      <c r="AB37" s="17"/>
      <c r="AC37" s="17"/>
      <c r="AD37" s="17"/>
      <c r="AV37">
        <f t="shared" si="14"/>
        <v>0.13179715686805094</v>
      </c>
    </row>
    <row r="38" spans="1:49" ht="12.75" customHeight="1" x14ac:dyDescent="0.35">
      <c r="A38" s="53"/>
      <c r="B38" s="1" t="s">
        <v>25</v>
      </c>
      <c r="C38" s="32">
        <v>0</v>
      </c>
      <c r="D38" s="35">
        <v>-197.52</v>
      </c>
      <c r="E38" s="32">
        <v>-197.51</v>
      </c>
      <c r="F38" s="64"/>
      <c r="G38" s="35">
        <f t="shared" si="11"/>
        <v>-211.97505524775025</v>
      </c>
      <c r="H38" s="35"/>
      <c r="I38" s="32">
        <f>G38*1.05</f>
        <v>-222.57380801013778</v>
      </c>
      <c r="J38" s="32"/>
      <c r="K38" s="35">
        <f t="shared" si="12"/>
        <v>-233.70249841064469</v>
      </c>
      <c r="L38" s="35"/>
      <c r="M38" s="32">
        <f t="shared" si="12"/>
        <v>-245.38762333117694</v>
      </c>
      <c r="N38" s="32"/>
      <c r="O38" s="32">
        <f t="shared" si="13"/>
        <v>-250.29537579780049</v>
      </c>
      <c r="P38" s="32"/>
      <c r="Q38" s="35"/>
      <c r="R38" s="35"/>
      <c r="S38" s="35"/>
      <c r="T38" s="35"/>
      <c r="U38" s="17"/>
      <c r="V38" s="17"/>
      <c r="W38" s="17"/>
      <c r="X38" s="17"/>
      <c r="Y38" s="17"/>
      <c r="Z38" s="17"/>
      <c r="AA38" s="17"/>
      <c r="AB38" s="17"/>
      <c r="AC38" s="17"/>
      <c r="AD38" s="17"/>
      <c r="AV38">
        <f t="shared" si="14"/>
        <v>-8.1224469049163365E-4</v>
      </c>
    </row>
    <row r="39" spans="1:49" ht="12.75" customHeight="1" x14ac:dyDescent="0.35">
      <c r="A39" s="53"/>
      <c r="B39" s="5" t="s">
        <v>26</v>
      </c>
      <c r="C39" s="48">
        <f>SUM(C33:C38)</f>
        <v>245769.25000000003</v>
      </c>
      <c r="D39" s="49">
        <f>SUM(D33:D38)</f>
        <v>238440.05000000002</v>
      </c>
      <c r="E39" s="48">
        <f>SUM(E33:E38)</f>
        <v>243165.63999999998</v>
      </c>
      <c r="F39" s="32"/>
      <c r="G39" s="49">
        <f>AY29</f>
        <v>260974.38090909092</v>
      </c>
      <c r="H39" s="49"/>
      <c r="I39" s="48">
        <f>G39*1.05</f>
        <v>274023.0999545455</v>
      </c>
      <c r="J39" s="48"/>
      <c r="K39" s="49">
        <f t="shared" si="12"/>
        <v>287724.25495227281</v>
      </c>
      <c r="L39" s="35"/>
      <c r="M39" s="48">
        <f t="shared" si="12"/>
        <v>302110.46769988647</v>
      </c>
      <c r="N39" s="32"/>
      <c r="O39" s="32">
        <f>SUM(O33:O38)</f>
        <v>290842.64897795231</v>
      </c>
      <c r="P39" s="32"/>
      <c r="Q39" s="35"/>
      <c r="R39" s="35"/>
      <c r="S39" s="35"/>
      <c r="T39" s="35"/>
      <c r="U39" s="22"/>
      <c r="V39" s="22"/>
      <c r="W39" s="22"/>
      <c r="X39" s="22"/>
      <c r="Y39" s="22"/>
      <c r="Z39" s="22"/>
      <c r="AA39" s="22"/>
      <c r="AB39" s="22"/>
      <c r="AC39" s="22"/>
      <c r="AD39" s="22"/>
      <c r="AV39">
        <f t="shared" si="14"/>
        <v>1</v>
      </c>
    </row>
    <row r="40" spans="1:49" ht="12.75" customHeight="1" x14ac:dyDescent="0.35">
      <c r="A40" s="53"/>
    </row>
    <row r="41" spans="1:49" ht="12.75" customHeight="1" thickBot="1" x14ac:dyDescent="0.4">
      <c r="A41" s="53"/>
      <c r="B41" s="6" t="s">
        <v>27</v>
      </c>
      <c r="C41" s="50">
        <f>(0+((C24+C25+C26+C27+C28+C29+C30))+(C39))-(0)</f>
        <v>358976.55</v>
      </c>
      <c r="D41" s="51">
        <f>(0+((D24+D25+D26+D27+D28+D29+D30))+(D39))-(0)</f>
        <v>396494.26</v>
      </c>
      <c r="E41" s="50">
        <f>(0+((E24+E25+E26+E27+E28+E29+E30))+(E39))-(0)</f>
        <v>410295.81999999995</v>
      </c>
      <c r="F41" s="32"/>
      <c r="G41" s="51">
        <f>(0+((G24+G25+G26+G27+G28+G29+G30))+(G39))-(0)</f>
        <v>433659.34946909093</v>
      </c>
      <c r="H41" s="51"/>
      <c r="I41" s="50">
        <f>(0+((I24+I25+I26+I27+I28+I29+I30))+(I39))-(0)</f>
        <v>456015.76745454548</v>
      </c>
      <c r="J41" s="50"/>
      <c r="K41" s="51">
        <f>(0+((K24+K25+K26+K27+K28+K29+K30))+(K39))-(0)</f>
        <v>478816.55582727282</v>
      </c>
      <c r="L41" s="59"/>
      <c r="M41" s="50">
        <f>(0+((M24+M25+M26+M27+M28+M29+M30))+(M39))-(0)</f>
        <v>502757.38361863652</v>
      </c>
      <c r="N41" s="86"/>
      <c r="O41" s="50">
        <f>(0+((O24+O25+O26+O27+O28+O29+O30))+(O39))-(0)</f>
        <v>501521.91069263982</v>
      </c>
      <c r="P41" s="86"/>
      <c r="Q41" s="59"/>
      <c r="R41" s="59"/>
      <c r="S41" s="59"/>
      <c r="T41" s="59"/>
      <c r="U41" s="3"/>
      <c r="V41" s="3"/>
      <c r="W41" s="3"/>
      <c r="X41" s="3"/>
      <c r="Y41" s="3"/>
      <c r="Z41" s="3"/>
      <c r="AA41" s="3"/>
      <c r="AB41" s="3"/>
      <c r="AC41" s="3"/>
      <c r="AD41" s="3"/>
    </row>
    <row r="42" spans="1:49" ht="12.75" customHeight="1" thickTop="1" x14ac:dyDescent="0.35">
      <c r="A42" s="53"/>
    </row>
    <row r="43" spans="1:49" ht="12.75" customHeight="1" x14ac:dyDescent="0.35">
      <c r="A43" s="53">
        <v>3</v>
      </c>
      <c r="B43" s="3" t="s">
        <v>28</v>
      </c>
      <c r="Q43" s="34" t="s">
        <v>185</v>
      </c>
    </row>
    <row r="44" spans="1:49" ht="12.75" customHeight="1" x14ac:dyDescent="0.35">
      <c r="A44" s="53"/>
      <c r="B44" s="1" t="s">
        <v>29</v>
      </c>
      <c r="C44" s="32">
        <f>30256.32+15602</f>
        <v>45858.32</v>
      </c>
      <c r="D44" s="35">
        <v>5</v>
      </c>
      <c r="E44" s="32">
        <v>0</v>
      </c>
      <c r="F44" s="32"/>
      <c r="G44" s="35"/>
      <c r="H44" s="35"/>
      <c r="I44" s="32"/>
      <c r="J44" s="32"/>
      <c r="K44" s="35"/>
      <c r="L44" s="35"/>
      <c r="M44" s="32"/>
      <c r="N44" s="32"/>
      <c r="O44" s="32"/>
      <c r="P44" s="32"/>
      <c r="Q44" s="35"/>
      <c r="R44" s="35"/>
      <c r="S44" s="35"/>
      <c r="T44" s="35"/>
      <c r="U44" s="17"/>
      <c r="V44" s="17"/>
      <c r="W44" s="17"/>
      <c r="X44" s="17"/>
      <c r="Y44" s="17"/>
      <c r="Z44" s="17"/>
      <c r="AA44" s="17"/>
      <c r="AB44" s="17"/>
      <c r="AC44" s="17"/>
      <c r="AD44" s="17"/>
    </row>
    <row r="45" spans="1:49" ht="12.75" customHeight="1" x14ac:dyDescent="0.35">
      <c r="A45" s="53"/>
      <c r="B45" s="1" t="s">
        <v>30</v>
      </c>
      <c r="C45" s="32">
        <v>0</v>
      </c>
      <c r="D45" s="35">
        <f>100084.72-14676</f>
        <v>85408.72</v>
      </c>
      <c r="E45" s="32">
        <v>70217.95</v>
      </c>
      <c r="F45" s="64">
        <v>71205.010000000009</v>
      </c>
      <c r="G45" s="35">
        <f>AV24+AV25</f>
        <v>72380</v>
      </c>
      <c r="H45" s="35"/>
      <c r="I45" s="63">
        <f>G45</f>
        <v>72380</v>
      </c>
      <c r="J45" s="32"/>
      <c r="K45" s="35">
        <f>I45*1.05</f>
        <v>75999</v>
      </c>
      <c r="L45" s="35"/>
      <c r="M45" s="32">
        <f>K45</f>
        <v>75999</v>
      </c>
      <c r="N45" s="32"/>
      <c r="O45" s="32">
        <f>M45*1.05</f>
        <v>79798.95</v>
      </c>
      <c r="P45" s="32"/>
      <c r="Q45" s="35"/>
      <c r="R45" s="35"/>
      <c r="S45" s="35"/>
      <c r="T45" s="35"/>
      <c r="U45" s="17"/>
      <c r="V45" s="17" t="s">
        <v>155</v>
      </c>
      <c r="W45" s="17"/>
      <c r="X45" s="17"/>
      <c r="Y45" s="17"/>
      <c r="Z45" s="17"/>
      <c r="AA45" s="17"/>
      <c r="AB45" s="17"/>
      <c r="AC45" s="17"/>
      <c r="AD45" s="17"/>
    </row>
    <row r="46" spans="1:49" ht="12.75" customHeight="1" x14ac:dyDescent="0.35">
      <c r="A46" s="53"/>
      <c r="B46" s="1" t="s">
        <v>31</v>
      </c>
      <c r="C46" s="32">
        <v>0</v>
      </c>
      <c r="D46" s="35">
        <v>7801</v>
      </c>
      <c r="E46" s="32">
        <v>5146.5</v>
      </c>
      <c r="F46" s="64">
        <v>4581.54</v>
      </c>
      <c r="G46" s="35">
        <f>AV26</f>
        <v>5687</v>
      </c>
      <c r="H46" s="35"/>
      <c r="I46" s="63">
        <f>G46</f>
        <v>5687</v>
      </c>
      <c r="J46" s="32"/>
      <c r="K46" s="35">
        <f>I46*1.05</f>
        <v>5971.35</v>
      </c>
      <c r="L46" s="35"/>
      <c r="M46" s="32">
        <f>K46</f>
        <v>5971.35</v>
      </c>
      <c r="N46" s="32"/>
      <c r="O46" s="32">
        <f t="shared" ref="O46:O48" si="15">M46*1.05</f>
        <v>6269.9175000000005</v>
      </c>
      <c r="P46" s="32"/>
      <c r="Q46" s="35"/>
      <c r="R46" s="35"/>
      <c r="S46" s="35"/>
      <c r="T46" s="35"/>
      <c r="U46" s="17"/>
      <c r="V46" s="17"/>
      <c r="W46" s="17"/>
      <c r="X46" s="17"/>
      <c r="Y46" s="17"/>
      <c r="Z46" s="17"/>
      <c r="AA46" s="17"/>
      <c r="AB46" s="17"/>
      <c r="AC46" s="17"/>
      <c r="AD46" s="17"/>
    </row>
    <row r="47" spans="1:49" ht="12.75" customHeight="1" x14ac:dyDescent="0.35">
      <c r="A47" s="53"/>
      <c r="B47" s="1" t="s">
        <v>32</v>
      </c>
      <c r="C47" s="32">
        <v>0</v>
      </c>
      <c r="D47" s="35">
        <v>31476.13</v>
      </c>
      <c r="E47" s="32">
        <v>26235.200000000001</v>
      </c>
      <c r="F47" s="64">
        <v>25739.89</v>
      </c>
      <c r="G47" s="35">
        <f>AV27</f>
        <v>25754</v>
      </c>
      <c r="H47" s="35"/>
      <c r="I47" s="63">
        <f>G47</f>
        <v>25754</v>
      </c>
      <c r="J47" s="32"/>
      <c r="K47" s="35">
        <f>I47*1.05</f>
        <v>27041.7</v>
      </c>
      <c r="L47" s="35"/>
      <c r="M47" s="32">
        <f>K47</f>
        <v>27041.7</v>
      </c>
      <c r="N47" s="32"/>
      <c r="O47" s="32">
        <f t="shared" si="15"/>
        <v>28393.785000000003</v>
      </c>
      <c r="P47" s="32"/>
      <c r="Q47" s="35"/>
      <c r="R47" s="35"/>
      <c r="S47" s="35"/>
      <c r="T47" s="35"/>
      <c r="U47" s="17"/>
      <c r="V47" s="17"/>
      <c r="W47" s="17"/>
      <c r="X47" s="17"/>
      <c r="Y47" s="17"/>
      <c r="Z47" s="17"/>
      <c r="AA47" s="17"/>
      <c r="AB47" s="17"/>
      <c r="AC47" s="17"/>
      <c r="AD47" s="17"/>
    </row>
    <row r="48" spans="1:49" ht="12.75" customHeight="1" x14ac:dyDescent="0.35">
      <c r="A48" s="53"/>
      <c r="B48" s="1" t="s">
        <v>33</v>
      </c>
      <c r="C48" s="32">
        <v>0</v>
      </c>
      <c r="D48" s="35">
        <v>1335.19</v>
      </c>
      <c r="E48" s="32">
        <v>1619.52</v>
      </c>
      <c r="F48" s="64">
        <v>2204.8000000000002</v>
      </c>
      <c r="G48" s="35">
        <f>AV28</f>
        <v>1659</v>
      </c>
      <c r="H48" s="35"/>
      <c r="I48" s="63">
        <f>G48</f>
        <v>1659</v>
      </c>
      <c r="J48" s="32"/>
      <c r="K48" s="35">
        <f>I48*1.05</f>
        <v>1741.95</v>
      </c>
      <c r="L48" s="35"/>
      <c r="M48" s="32">
        <f>K48</f>
        <v>1741.95</v>
      </c>
      <c r="N48" s="32"/>
      <c r="O48" s="32">
        <f t="shared" si="15"/>
        <v>1829.0475000000001</v>
      </c>
      <c r="P48" s="32"/>
      <c r="Q48" s="35"/>
      <c r="R48" s="35"/>
      <c r="S48" s="35"/>
      <c r="T48" s="35"/>
      <c r="U48" s="17"/>
      <c r="V48" s="17"/>
      <c r="W48" s="17"/>
      <c r="X48" s="17"/>
      <c r="Y48" s="17"/>
      <c r="Z48" s="17"/>
      <c r="AA48" s="17"/>
      <c r="AB48" s="17"/>
      <c r="AC48" s="17"/>
      <c r="AD48" s="17"/>
    </row>
    <row r="49" spans="1:31" ht="12.75" hidden="1" customHeight="1" x14ac:dyDescent="0.35">
      <c r="A49" s="53"/>
      <c r="B49" s="1" t="s">
        <v>34</v>
      </c>
      <c r="C49" s="32"/>
      <c r="D49" s="35"/>
      <c r="E49" s="32">
        <v>0</v>
      </c>
      <c r="F49" s="32"/>
      <c r="G49" s="35"/>
      <c r="H49" s="35"/>
      <c r="I49" s="32"/>
      <c r="J49" s="32"/>
      <c r="K49" s="35"/>
      <c r="L49" s="35"/>
      <c r="M49" s="32"/>
      <c r="N49" s="32"/>
      <c r="O49" s="32"/>
      <c r="P49" s="32"/>
      <c r="Q49" s="35"/>
      <c r="R49" s="35"/>
      <c r="S49" s="35"/>
      <c r="T49" s="35"/>
      <c r="U49" s="17"/>
      <c r="V49" s="17"/>
      <c r="W49" s="17"/>
      <c r="X49" s="17"/>
      <c r="Y49" s="17"/>
      <c r="Z49" s="17"/>
      <c r="AA49" s="17"/>
      <c r="AB49" s="17"/>
      <c r="AC49" s="17"/>
      <c r="AD49" s="17"/>
    </row>
    <row r="50" spans="1:31" ht="12.75" customHeight="1" x14ac:dyDescent="0.35">
      <c r="A50" s="53"/>
      <c r="B50" s="5" t="s">
        <v>35</v>
      </c>
      <c r="C50" s="20">
        <f>SUM(C44:C49)</f>
        <v>45858.32</v>
      </c>
      <c r="D50" s="36">
        <f>SUM(D44:D49)</f>
        <v>126026.04000000001</v>
      </c>
      <c r="E50" s="20">
        <f>SUM(E44:E49)</f>
        <v>103219.17</v>
      </c>
      <c r="F50" s="19"/>
      <c r="G50" s="36">
        <f>SUM(G44:G49)</f>
        <v>105480</v>
      </c>
      <c r="H50" s="36"/>
      <c r="I50" s="20">
        <f>SUM(I44:I49)</f>
        <v>105480</v>
      </c>
      <c r="J50" s="20"/>
      <c r="K50" s="36">
        <f>SUM(K44:K49)</f>
        <v>110754</v>
      </c>
      <c r="L50" s="58"/>
      <c r="M50" s="20">
        <f>SUM(M44:M49)</f>
        <v>110754</v>
      </c>
      <c r="N50" s="22"/>
      <c r="O50" s="20">
        <f>SUM(O44:O49)</f>
        <v>116291.7</v>
      </c>
      <c r="P50" s="22"/>
      <c r="Q50" s="58"/>
      <c r="R50" s="58"/>
      <c r="S50" s="58"/>
      <c r="T50" s="58"/>
      <c r="U50" s="22"/>
      <c r="V50" s="22"/>
      <c r="W50" s="22"/>
      <c r="X50" s="22"/>
      <c r="Y50" s="22"/>
      <c r="Z50" s="22"/>
      <c r="AA50" s="22"/>
      <c r="AB50" s="22"/>
      <c r="AC50" s="22"/>
      <c r="AD50" s="22"/>
    </row>
    <row r="51" spans="1:31" ht="12.75" customHeight="1" x14ac:dyDescent="0.35">
      <c r="A51" s="53"/>
      <c r="C51" s="17"/>
      <c r="D51" s="37"/>
      <c r="E51" s="17"/>
      <c r="F51" s="17"/>
      <c r="G51" s="37"/>
      <c r="H51" s="37"/>
      <c r="I51" s="17"/>
      <c r="J51" s="17"/>
      <c r="K51" s="37"/>
      <c r="L51" s="37"/>
      <c r="M51" s="71"/>
      <c r="N51" s="71"/>
      <c r="O51" s="71"/>
      <c r="P51" s="71"/>
      <c r="Q51" s="37"/>
      <c r="R51" s="37"/>
      <c r="S51" s="37"/>
      <c r="T51" s="37"/>
      <c r="U51" s="17"/>
      <c r="V51" s="17"/>
      <c r="W51" s="17"/>
      <c r="X51" s="17"/>
      <c r="Y51" s="17"/>
      <c r="Z51" s="17"/>
      <c r="AA51" s="17"/>
      <c r="AB51" s="17"/>
      <c r="AC51" s="17"/>
      <c r="AD51" s="17"/>
    </row>
    <row r="52" spans="1:31" ht="12.75" customHeight="1" thickBot="1" x14ac:dyDescent="0.4">
      <c r="A52" s="53"/>
      <c r="B52" s="6" t="s">
        <v>36</v>
      </c>
      <c r="C52" s="16">
        <f>(0+(0)+(C50)+(C41))-(0)</f>
        <v>404834.87</v>
      </c>
      <c r="D52" s="38">
        <f>(0+(0)+(D50)+(D41))-(0)</f>
        <v>522520.30000000005</v>
      </c>
      <c r="E52" s="16">
        <f>(0+(0)+(E50)+(E41))-(0)</f>
        <v>513514.98999999993</v>
      </c>
      <c r="F52" s="19"/>
      <c r="G52" s="38">
        <f>(0+(0)+(G50)+(G41))-(0)</f>
        <v>539139.34946909093</v>
      </c>
      <c r="H52" s="38"/>
      <c r="I52" s="16">
        <f>(0+(0)+(I50)+(I41))-(0)</f>
        <v>561495.76745454548</v>
      </c>
      <c r="J52" s="16"/>
      <c r="K52" s="38">
        <f>(0+(0)+(K50)+(K41))-(0)</f>
        <v>589570.55582727282</v>
      </c>
      <c r="L52" s="58"/>
      <c r="M52" s="16">
        <f>(0+(0)+(M50)+(M41))-(0)</f>
        <v>613511.38361863652</v>
      </c>
      <c r="N52" s="22"/>
      <c r="O52" s="16">
        <f>(0+(0)+(O50)+(O41))-(0)</f>
        <v>617813.61069263984</v>
      </c>
      <c r="P52" s="22"/>
      <c r="Q52" s="58"/>
      <c r="R52" s="58"/>
      <c r="S52" s="58"/>
      <c r="T52" s="58"/>
      <c r="U52" s="22"/>
      <c r="V52" s="22"/>
      <c r="W52" s="22"/>
      <c r="X52" s="22"/>
      <c r="Y52" s="22"/>
      <c r="Z52" s="22"/>
      <c r="AA52" s="22"/>
      <c r="AB52" s="22"/>
      <c r="AC52" s="22"/>
      <c r="AD52" s="22"/>
      <c r="AE52" s="17">
        <f>K52-G52</f>
        <v>50431.206358181895</v>
      </c>
    </row>
    <row r="53" spans="1:31" ht="12.75" customHeight="1" thickTop="1" x14ac:dyDescent="0.35">
      <c r="A53" s="53"/>
      <c r="E53" s="17">
        <f>E52-E39</f>
        <v>270349.34999999998</v>
      </c>
    </row>
    <row r="54" spans="1:31" ht="12.75" customHeight="1" x14ac:dyDescent="0.35">
      <c r="A54" s="53">
        <v>4</v>
      </c>
      <c r="B54" s="3" t="s">
        <v>37</v>
      </c>
    </row>
    <row r="55" spans="1:31" ht="12.75" customHeight="1" x14ac:dyDescent="0.35">
      <c r="A55" s="53"/>
      <c r="B55" s="1" t="s">
        <v>261</v>
      </c>
      <c r="C55" s="32">
        <v>0</v>
      </c>
      <c r="D55" s="35">
        <v>0</v>
      </c>
      <c r="E55" s="32">
        <v>2818.06</v>
      </c>
      <c r="F55" s="32"/>
      <c r="G55" s="35">
        <v>5950</v>
      </c>
      <c r="H55" s="35"/>
      <c r="I55" s="63">
        <v>6300</v>
      </c>
      <c r="J55" s="32"/>
      <c r="K55" s="35">
        <v>7000</v>
      </c>
      <c r="L55" s="35"/>
      <c r="M55" s="32">
        <v>7500</v>
      </c>
      <c r="N55" s="32"/>
      <c r="O55" s="32">
        <f>90*85</f>
        <v>7650</v>
      </c>
      <c r="P55" s="32"/>
      <c r="Q55" s="35" t="s">
        <v>186</v>
      </c>
      <c r="R55" s="35"/>
      <c r="S55" s="35"/>
      <c r="T55" s="35"/>
      <c r="U55" s="18"/>
      <c r="V55" s="18"/>
      <c r="W55" s="18"/>
      <c r="X55" s="18"/>
      <c r="Y55" s="18"/>
      <c r="Z55" s="18"/>
      <c r="AA55" s="18"/>
      <c r="AB55" s="18"/>
      <c r="AC55" s="18"/>
      <c r="AD55" s="18"/>
    </row>
    <row r="56" spans="1:31" ht="12.75" customHeight="1" x14ac:dyDescent="0.35">
      <c r="A56" s="53"/>
      <c r="B56" s="1" t="s">
        <v>39</v>
      </c>
      <c r="C56" s="32">
        <v>0</v>
      </c>
      <c r="D56" s="35">
        <v>553</v>
      </c>
      <c r="E56" s="32">
        <v>17040.13</v>
      </c>
      <c r="F56" s="32"/>
      <c r="G56" s="35">
        <v>0</v>
      </c>
      <c r="H56" s="35"/>
      <c r="I56" s="32"/>
      <c r="J56" s="32"/>
      <c r="K56" s="35"/>
      <c r="L56" s="35"/>
      <c r="M56" s="32"/>
      <c r="N56" s="32"/>
      <c r="O56" s="32"/>
      <c r="P56" s="32"/>
      <c r="Q56" s="35"/>
      <c r="R56" s="35"/>
      <c r="S56" s="35"/>
      <c r="T56" s="35"/>
      <c r="U56" s="17"/>
      <c r="V56" s="17"/>
      <c r="W56" s="17"/>
      <c r="X56" s="17"/>
      <c r="Y56" s="17"/>
      <c r="Z56" s="17"/>
      <c r="AA56" s="17"/>
      <c r="AB56" s="17"/>
      <c r="AC56" s="17"/>
      <c r="AD56" s="17"/>
    </row>
    <row r="57" spans="1:31" ht="12.75" customHeight="1" x14ac:dyDescent="0.35">
      <c r="A57" s="53"/>
      <c r="B57" s="1" t="s">
        <v>40</v>
      </c>
      <c r="C57" s="32">
        <v>0</v>
      </c>
      <c r="D57" s="35">
        <v>0</v>
      </c>
      <c r="E57" s="32">
        <v>1</v>
      </c>
      <c r="F57" s="32"/>
      <c r="G57" s="35"/>
      <c r="H57" s="35"/>
      <c r="I57" s="32"/>
      <c r="J57" s="32"/>
      <c r="K57" s="35"/>
      <c r="L57" s="35"/>
      <c r="M57" s="32"/>
      <c r="N57" s="32"/>
      <c r="O57" s="32"/>
      <c r="P57" s="32"/>
      <c r="Q57" s="35"/>
      <c r="R57" s="35"/>
      <c r="S57" s="35"/>
      <c r="T57" s="35"/>
      <c r="U57" s="17"/>
      <c r="V57" s="17"/>
      <c r="W57" s="17"/>
      <c r="X57" s="17"/>
      <c r="Y57" s="17"/>
      <c r="Z57" s="17"/>
      <c r="AA57" s="17"/>
      <c r="AB57" s="17"/>
      <c r="AC57" s="17"/>
      <c r="AD57" s="17"/>
    </row>
    <row r="58" spans="1:31" ht="12.75" customHeight="1" x14ac:dyDescent="0.35">
      <c r="A58" s="53"/>
      <c r="B58" s="5" t="s">
        <v>41</v>
      </c>
      <c r="C58" s="20">
        <f>SUM(C55:C57)</f>
        <v>0</v>
      </c>
      <c r="D58" s="36">
        <f>SUM(D55:D57)</f>
        <v>553</v>
      </c>
      <c r="E58" s="20">
        <f>SUM(E55:E57)</f>
        <v>19859.190000000002</v>
      </c>
      <c r="F58" s="19"/>
      <c r="G58" s="36">
        <f>SUM(G55:G57)</f>
        <v>5950</v>
      </c>
      <c r="H58" s="36"/>
      <c r="I58" s="20">
        <f>SUM(I55:I57)</f>
        <v>6300</v>
      </c>
      <c r="J58" s="20"/>
      <c r="K58" s="36">
        <f>SUM(K55:K57)</f>
        <v>7000</v>
      </c>
      <c r="L58" s="58"/>
      <c r="M58" s="20">
        <f>SUM(M55:M57)</f>
        <v>7500</v>
      </c>
      <c r="N58" s="22"/>
      <c r="O58" s="20">
        <f>SUM(O55:O57)</f>
        <v>7650</v>
      </c>
      <c r="P58" s="22"/>
      <c r="Q58" s="58"/>
      <c r="R58" s="58"/>
      <c r="S58" s="58"/>
      <c r="T58" s="58"/>
      <c r="U58" s="22"/>
      <c r="V58" s="22"/>
      <c r="W58" s="22"/>
      <c r="X58" s="22"/>
      <c r="Y58" s="22"/>
      <c r="Z58" s="22"/>
      <c r="AA58" s="22"/>
      <c r="AB58" s="22"/>
      <c r="AC58" s="22"/>
      <c r="AD58" s="22"/>
    </row>
    <row r="59" spans="1:31" ht="12.75" customHeight="1" x14ac:dyDescent="0.35">
      <c r="A59" s="53"/>
      <c r="C59" s="17"/>
      <c r="D59" s="37"/>
      <c r="E59" s="17"/>
      <c r="F59" s="17"/>
      <c r="G59" s="37"/>
      <c r="H59" s="37"/>
      <c r="I59" s="17"/>
      <c r="J59" s="17"/>
      <c r="K59" s="37"/>
      <c r="L59" s="37"/>
      <c r="M59" s="71"/>
      <c r="N59" s="71"/>
      <c r="O59" s="71"/>
      <c r="P59" s="71"/>
      <c r="Q59" s="37"/>
      <c r="R59" s="37"/>
      <c r="S59" s="37"/>
      <c r="T59" s="37"/>
      <c r="U59" s="17"/>
      <c r="V59" s="17"/>
      <c r="W59" s="17"/>
      <c r="X59" s="17"/>
      <c r="Y59" s="17"/>
      <c r="Z59" s="17"/>
      <c r="AA59" s="17"/>
      <c r="AB59" s="17"/>
      <c r="AC59" s="17"/>
      <c r="AD59" s="17"/>
    </row>
    <row r="60" spans="1:31" ht="12.75" customHeight="1" x14ac:dyDescent="0.35">
      <c r="A60" s="53">
        <v>5</v>
      </c>
      <c r="B60" s="3" t="s">
        <v>42</v>
      </c>
      <c r="C60" s="17"/>
      <c r="D60" s="37"/>
      <c r="E60" s="17"/>
      <c r="F60" s="17"/>
      <c r="G60" s="37"/>
      <c r="H60" s="37"/>
      <c r="I60" s="17"/>
      <c r="J60" s="17"/>
      <c r="K60" s="37"/>
      <c r="L60" s="37"/>
      <c r="M60" s="71"/>
      <c r="N60" s="71"/>
      <c r="O60" s="71"/>
      <c r="P60" s="71"/>
      <c r="Q60" s="37"/>
      <c r="R60" s="37"/>
      <c r="S60" s="37"/>
      <c r="T60" s="37"/>
      <c r="U60" s="17"/>
      <c r="V60" s="17"/>
      <c r="W60" s="17"/>
      <c r="X60" s="17"/>
      <c r="Y60" s="17"/>
      <c r="Z60" s="17"/>
      <c r="AA60" s="17"/>
      <c r="AB60" s="17"/>
      <c r="AC60" s="17"/>
      <c r="AD60" s="17"/>
    </row>
    <row r="61" spans="1:31" ht="12.75" customHeight="1" x14ac:dyDescent="0.35">
      <c r="A61" s="53">
        <v>5.0999999999999996</v>
      </c>
      <c r="B61" s="1" t="s">
        <v>43</v>
      </c>
      <c r="C61" s="32">
        <v>0</v>
      </c>
      <c r="D61" s="35">
        <v>0</v>
      </c>
      <c r="E61" s="32">
        <v>6000</v>
      </c>
      <c r="F61" s="32"/>
      <c r="G61" s="35">
        <v>74155</v>
      </c>
      <c r="H61" s="35"/>
      <c r="I61" s="32"/>
      <c r="J61" s="32"/>
      <c r="K61" s="35">
        <v>0</v>
      </c>
      <c r="L61" s="35"/>
      <c r="M61" s="32">
        <v>0</v>
      </c>
      <c r="N61" s="32"/>
      <c r="O61" s="32"/>
      <c r="P61" s="32"/>
      <c r="Q61" s="35"/>
      <c r="R61" s="35"/>
      <c r="S61" s="35"/>
      <c r="T61" s="35"/>
      <c r="U61" s="18"/>
      <c r="V61" s="18"/>
      <c r="W61" s="18"/>
      <c r="X61" s="18"/>
      <c r="Y61" s="18"/>
      <c r="Z61" s="18"/>
      <c r="AA61" s="18"/>
      <c r="AB61" s="18"/>
      <c r="AC61" s="18"/>
      <c r="AD61" s="18"/>
    </row>
    <row r="62" spans="1:31" ht="12.75" customHeight="1" x14ac:dyDescent="0.35">
      <c r="A62" s="53">
        <v>5.2</v>
      </c>
      <c r="B62" s="3" t="s">
        <v>44</v>
      </c>
      <c r="C62" s="17"/>
      <c r="D62" s="37"/>
      <c r="E62" s="17"/>
      <c r="F62" s="17"/>
      <c r="G62" s="37"/>
      <c r="H62" s="37"/>
      <c r="I62" s="17"/>
      <c r="J62" s="17"/>
      <c r="K62" s="37"/>
      <c r="L62" s="37"/>
      <c r="M62" s="71"/>
      <c r="N62" s="71"/>
      <c r="O62" s="71"/>
      <c r="P62" s="71"/>
      <c r="Q62" s="37"/>
      <c r="R62" s="37"/>
      <c r="S62" s="37"/>
      <c r="T62" s="37"/>
      <c r="U62" s="17"/>
      <c r="V62" s="17"/>
      <c r="W62" s="17"/>
      <c r="X62" s="17"/>
      <c r="Y62" s="17"/>
      <c r="Z62" s="17"/>
      <c r="AA62" s="17"/>
      <c r="AB62" s="17"/>
      <c r="AC62" s="17"/>
      <c r="AD62" s="17"/>
    </row>
    <row r="63" spans="1:31" ht="12.75" customHeight="1" x14ac:dyDescent="0.35">
      <c r="A63" s="53"/>
      <c r="B63" s="1" t="s">
        <v>45</v>
      </c>
      <c r="C63" s="32">
        <v>17103.43</v>
      </c>
      <c r="D63" s="35">
        <v>0</v>
      </c>
      <c r="E63" s="32">
        <v>24376</v>
      </c>
      <c r="F63" s="32"/>
      <c r="G63" s="35">
        <v>36000</v>
      </c>
      <c r="H63" s="35"/>
      <c r="I63" s="63">
        <v>34000</v>
      </c>
      <c r="J63" s="32"/>
      <c r="K63" s="35">
        <v>35000</v>
      </c>
      <c r="L63" s="35"/>
      <c r="M63" s="32">
        <v>36000</v>
      </c>
      <c r="N63" s="32"/>
      <c r="O63" s="32">
        <v>38000</v>
      </c>
      <c r="P63" s="32"/>
      <c r="Q63" s="35" t="s">
        <v>187</v>
      </c>
      <c r="R63" s="35"/>
      <c r="S63" s="35"/>
      <c r="T63" s="35"/>
      <c r="U63" s="17"/>
      <c r="V63" s="17"/>
      <c r="W63" s="17"/>
      <c r="X63" s="17"/>
      <c r="Y63" s="17"/>
      <c r="Z63" s="17"/>
      <c r="AA63" s="17"/>
      <c r="AB63" s="17"/>
      <c r="AC63" s="17"/>
      <c r="AD63" s="17"/>
    </row>
    <row r="64" spans="1:31" ht="12.75" customHeight="1" x14ac:dyDescent="0.35">
      <c r="A64" s="53"/>
      <c r="B64" s="5" t="s">
        <v>46</v>
      </c>
      <c r="C64" s="20">
        <f>SUM(C63:C63)</f>
        <v>17103.43</v>
      </c>
      <c r="D64" s="36">
        <f>SUM(D63:D63)</f>
        <v>0</v>
      </c>
      <c r="E64" s="20">
        <f>SUM(E63:E63)</f>
        <v>24376</v>
      </c>
      <c r="F64" s="19"/>
      <c r="G64" s="36">
        <f>SUM(G63:G63)</f>
        <v>36000</v>
      </c>
      <c r="H64" s="36"/>
      <c r="I64" s="20">
        <f>SUM(I63:I63)</f>
        <v>34000</v>
      </c>
      <c r="J64" s="20"/>
      <c r="K64" s="36">
        <f>SUM(K63:K63)</f>
        <v>35000</v>
      </c>
      <c r="L64" s="58"/>
      <c r="M64" s="20">
        <f>SUM(M63:M63)</f>
        <v>36000</v>
      </c>
      <c r="N64" s="22"/>
      <c r="O64" s="20">
        <f>SUM(O63:O63)</f>
        <v>38000</v>
      </c>
      <c r="P64" s="22"/>
      <c r="Q64" s="58"/>
      <c r="R64" s="58"/>
      <c r="S64" s="58"/>
      <c r="T64" s="58"/>
      <c r="U64" s="22"/>
      <c r="V64" s="22"/>
      <c r="W64" s="22"/>
      <c r="X64" s="22"/>
      <c r="Y64" s="22"/>
      <c r="Z64" s="22"/>
      <c r="AA64" s="22"/>
      <c r="AB64" s="22"/>
      <c r="AC64" s="22"/>
      <c r="AD64" s="22"/>
    </row>
    <row r="65" spans="1:37" ht="12.75" customHeight="1" x14ac:dyDescent="0.35">
      <c r="A65" s="53"/>
      <c r="C65" s="17"/>
      <c r="D65" s="37"/>
      <c r="E65" s="17"/>
      <c r="F65" s="17"/>
      <c r="G65" s="37"/>
      <c r="H65" s="37"/>
      <c r="I65" s="17"/>
      <c r="J65" s="17"/>
      <c r="K65" s="37"/>
      <c r="L65" s="37"/>
      <c r="M65" s="71"/>
      <c r="N65" s="71"/>
      <c r="O65" s="71"/>
      <c r="P65" s="71"/>
      <c r="Q65" s="37"/>
      <c r="R65" s="37"/>
      <c r="S65" s="37"/>
      <c r="T65" s="37"/>
      <c r="U65" s="17"/>
      <c r="V65" s="17"/>
      <c r="W65" s="17"/>
      <c r="X65" s="17"/>
      <c r="Y65" s="17"/>
      <c r="Z65" s="17"/>
      <c r="AA65" s="17"/>
      <c r="AB65" s="17"/>
      <c r="AC65" s="17"/>
      <c r="AD65" s="17"/>
    </row>
    <row r="66" spans="1:37" ht="12.75" customHeight="1" x14ac:dyDescent="0.35">
      <c r="A66" s="53">
        <v>5.3</v>
      </c>
      <c r="B66" s="3" t="s">
        <v>47</v>
      </c>
      <c r="C66" s="17"/>
      <c r="D66" s="37"/>
      <c r="E66" s="17"/>
      <c r="F66" s="17"/>
      <c r="G66" s="37"/>
      <c r="H66" s="37"/>
      <c r="I66" s="17"/>
      <c r="J66" s="17"/>
      <c r="K66" s="37"/>
      <c r="L66" s="37"/>
      <c r="M66" s="71"/>
      <c r="N66" s="71"/>
      <c r="O66" s="71"/>
      <c r="P66" s="71"/>
      <c r="Q66" s="37"/>
      <c r="R66" s="37"/>
      <c r="S66" s="37"/>
      <c r="T66" s="37"/>
      <c r="U66" s="17"/>
      <c r="V66" s="17"/>
      <c r="W66" s="17"/>
      <c r="X66" s="17"/>
      <c r="Y66" s="17"/>
      <c r="Z66" s="17"/>
      <c r="AA66" s="17"/>
      <c r="AB66" s="17"/>
      <c r="AC66" s="17"/>
      <c r="AD66" s="17"/>
    </row>
    <row r="67" spans="1:37" ht="12.75" customHeight="1" x14ac:dyDescent="0.35">
      <c r="A67" s="53"/>
      <c r="B67" s="1" t="s">
        <v>48</v>
      </c>
      <c r="C67" s="32">
        <v>6881.83</v>
      </c>
      <c r="D67" s="35">
        <v>0</v>
      </c>
      <c r="E67" s="32">
        <v>37416.71</v>
      </c>
      <c r="F67" s="32"/>
      <c r="G67" s="35">
        <v>0</v>
      </c>
      <c r="H67" s="35"/>
      <c r="I67" s="63">
        <f>E67</f>
        <v>37416.71</v>
      </c>
      <c r="J67" s="32"/>
      <c r="K67" s="35">
        <v>0</v>
      </c>
      <c r="L67" s="35"/>
      <c r="M67" s="32">
        <v>38000</v>
      </c>
      <c r="N67" s="32"/>
      <c r="O67" s="35">
        <v>0</v>
      </c>
      <c r="P67" s="32"/>
      <c r="Q67" s="35" t="s">
        <v>188</v>
      </c>
      <c r="R67" s="35"/>
      <c r="S67" s="35"/>
      <c r="T67" s="35"/>
      <c r="U67" s="18"/>
      <c r="V67" s="18"/>
      <c r="W67" s="18"/>
      <c r="X67" s="18"/>
      <c r="Y67" s="18"/>
      <c r="Z67" s="18"/>
      <c r="AA67" s="18"/>
      <c r="AB67" s="18"/>
      <c r="AC67" s="18"/>
      <c r="AD67" s="18"/>
    </row>
    <row r="68" spans="1:37" ht="12.75" customHeight="1" x14ac:dyDescent="0.35">
      <c r="A68" s="53"/>
      <c r="B68" s="1" t="s">
        <v>49</v>
      </c>
      <c r="C68" s="32">
        <v>34221.82</v>
      </c>
      <c r="D68" s="35">
        <v>895.45</v>
      </c>
      <c r="E68" s="32">
        <v>55811.74</v>
      </c>
      <c r="F68" s="32"/>
      <c r="G68" s="35">
        <v>0</v>
      </c>
      <c r="H68" s="35"/>
      <c r="I68" s="63">
        <v>60000</v>
      </c>
      <c r="J68" s="32"/>
      <c r="K68" s="35">
        <v>0</v>
      </c>
      <c r="L68" s="35"/>
      <c r="M68" s="32">
        <v>65000</v>
      </c>
      <c r="N68" s="32"/>
      <c r="O68" s="35">
        <v>0</v>
      </c>
      <c r="P68" s="32"/>
      <c r="Q68" s="35" t="s">
        <v>189</v>
      </c>
      <c r="R68" s="35"/>
      <c r="S68" s="35"/>
      <c r="T68" s="35"/>
      <c r="U68" s="18"/>
      <c r="V68" s="18"/>
      <c r="W68" s="18"/>
      <c r="X68" s="18"/>
      <c r="Y68" s="18"/>
      <c r="Z68" s="18"/>
      <c r="AA68" s="18"/>
      <c r="AB68" s="18"/>
      <c r="AC68" s="18"/>
      <c r="AD68" s="18"/>
    </row>
    <row r="69" spans="1:37" ht="12.75" customHeight="1" x14ac:dyDescent="0.35">
      <c r="A69" s="53"/>
      <c r="B69" s="5" t="s">
        <v>50</v>
      </c>
      <c r="C69" s="20">
        <f>SUM(C67:C68)</f>
        <v>41103.65</v>
      </c>
      <c r="D69" s="36">
        <f>SUM(D67:D68)</f>
        <v>895.45</v>
      </c>
      <c r="E69" s="20">
        <f>SUM(E67:E68)</f>
        <v>93228.45</v>
      </c>
      <c r="F69" s="19"/>
      <c r="G69" s="36">
        <f>SUM(G67:G68)</f>
        <v>0</v>
      </c>
      <c r="H69" s="36"/>
      <c r="I69" s="20">
        <f>SUM(I67:I68)</f>
        <v>97416.709999999992</v>
      </c>
      <c r="J69" s="20"/>
      <c r="K69" s="36">
        <v>0</v>
      </c>
      <c r="L69" s="58"/>
      <c r="M69" s="20">
        <f>SUM(M67:M68)</f>
        <v>103000</v>
      </c>
      <c r="N69" s="22"/>
      <c r="O69" s="36">
        <v>0</v>
      </c>
      <c r="P69" s="22"/>
      <c r="Q69" s="58"/>
      <c r="R69" s="58"/>
      <c r="S69" s="58"/>
      <c r="T69" s="58"/>
      <c r="U69" s="22"/>
      <c r="V69" s="22"/>
      <c r="W69" s="22"/>
      <c r="X69" s="22"/>
      <c r="Y69" s="22"/>
      <c r="Z69" s="22"/>
      <c r="AA69" s="22"/>
      <c r="AB69" s="22"/>
      <c r="AC69" s="22"/>
      <c r="AD69" s="22"/>
      <c r="AE69" s="17"/>
    </row>
    <row r="70" spans="1:37" ht="12.75" customHeight="1" x14ac:dyDescent="0.35">
      <c r="A70" s="53"/>
      <c r="C70" s="17"/>
      <c r="D70" s="37"/>
      <c r="E70" s="17"/>
      <c r="F70" s="17"/>
      <c r="G70" s="37"/>
      <c r="H70" s="37"/>
      <c r="I70" s="17"/>
      <c r="J70" s="17"/>
      <c r="K70" s="37"/>
      <c r="L70" s="37"/>
      <c r="M70" s="71"/>
      <c r="N70" s="71"/>
      <c r="O70" s="71"/>
      <c r="P70" s="71"/>
      <c r="Q70" s="37"/>
      <c r="R70" s="37"/>
      <c r="S70" s="37"/>
      <c r="T70" s="37"/>
      <c r="U70" s="17"/>
      <c r="V70" s="17"/>
      <c r="W70" s="17"/>
      <c r="X70" s="17"/>
      <c r="Y70" s="17"/>
      <c r="Z70" s="17"/>
      <c r="AA70" s="17"/>
      <c r="AB70" s="17"/>
      <c r="AC70" s="17"/>
      <c r="AD70" s="17"/>
    </row>
    <row r="71" spans="1:37" ht="12.75" customHeight="1" x14ac:dyDescent="0.35">
      <c r="A71" s="53">
        <v>5.4</v>
      </c>
      <c r="B71" s="3" t="s">
        <v>51</v>
      </c>
      <c r="C71" s="17"/>
      <c r="D71" s="37"/>
      <c r="E71" s="17"/>
      <c r="F71" s="17"/>
      <c r="G71" s="37"/>
      <c r="H71" s="37"/>
      <c r="I71" s="17"/>
      <c r="J71" s="17"/>
      <c r="K71" s="37"/>
      <c r="L71" s="37"/>
      <c r="M71" s="71"/>
      <c r="N71" s="71"/>
      <c r="O71" s="71"/>
      <c r="P71" s="71"/>
      <c r="Q71" s="37"/>
      <c r="R71" s="37"/>
      <c r="S71" s="37"/>
      <c r="T71" s="37"/>
      <c r="U71" s="17"/>
      <c r="V71" s="17"/>
      <c r="W71" s="17"/>
      <c r="X71" s="17"/>
      <c r="Y71" s="17"/>
      <c r="Z71" s="17"/>
      <c r="AA71" s="17"/>
      <c r="AB71" s="17"/>
      <c r="AC71" s="17"/>
      <c r="AD71" s="17"/>
    </row>
    <row r="72" spans="1:37" ht="12.75" customHeight="1" x14ac:dyDescent="0.35">
      <c r="A72" s="53"/>
      <c r="B72" s="1" t="s">
        <v>52</v>
      </c>
      <c r="C72" s="32">
        <v>0</v>
      </c>
      <c r="D72" s="35">
        <v>6480</v>
      </c>
      <c r="E72" s="32">
        <v>0</v>
      </c>
      <c r="F72" s="32"/>
      <c r="G72" s="35">
        <v>8554</v>
      </c>
      <c r="H72" s="35"/>
      <c r="I72" s="32">
        <v>0</v>
      </c>
      <c r="J72" s="32"/>
      <c r="K72" s="35">
        <v>9500</v>
      </c>
      <c r="L72" s="35"/>
      <c r="M72" s="32"/>
      <c r="N72" s="32"/>
      <c r="O72" s="32">
        <f>110*85</f>
        <v>9350</v>
      </c>
      <c r="P72" s="32" t="s">
        <v>262</v>
      </c>
      <c r="Q72" s="35" t="s">
        <v>211</v>
      </c>
      <c r="R72" s="35"/>
      <c r="S72" s="35"/>
      <c r="T72" s="35"/>
      <c r="U72" s="17"/>
      <c r="V72" s="17"/>
      <c r="W72" s="17"/>
      <c r="X72" s="17"/>
      <c r="Y72" s="17"/>
      <c r="Z72" s="17"/>
      <c r="AA72" s="17"/>
      <c r="AB72" s="17"/>
      <c r="AC72" s="17"/>
      <c r="AD72" s="17"/>
    </row>
    <row r="73" spans="1:37" ht="12.75" customHeight="1" x14ac:dyDescent="0.35">
      <c r="A73" s="53"/>
      <c r="B73" s="1" t="s">
        <v>53</v>
      </c>
      <c r="C73" s="32">
        <v>0</v>
      </c>
      <c r="D73" s="35">
        <v>71084</v>
      </c>
      <c r="E73" s="32">
        <v>-1750</v>
      </c>
      <c r="F73" s="32"/>
      <c r="G73" s="35">
        <v>112677</v>
      </c>
      <c r="H73" s="35"/>
      <c r="I73" s="32">
        <v>0</v>
      </c>
      <c r="J73" s="32"/>
      <c r="K73" s="35">
        <f>G73*1.05</f>
        <v>118310.85</v>
      </c>
      <c r="L73" s="35"/>
      <c r="M73" s="32"/>
      <c r="N73" s="32"/>
      <c r="O73" s="32">
        <f>K73*1.05</f>
        <v>124226.39250000002</v>
      </c>
      <c r="P73" s="32" t="s">
        <v>263</v>
      </c>
      <c r="Q73" s="35" t="s">
        <v>212</v>
      </c>
      <c r="R73" s="35"/>
      <c r="S73" s="35"/>
      <c r="T73" s="35"/>
      <c r="U73" s="17"/>
      <c r="V73" s="17"/>
      <c r="W73" s="17"/>
      <c r="X73" s="17"/>
      <c r="Y73" s="17"/>
      <c r="Z73" s="17"/>
      <c r="AA73" s="17"/>
      <c r="AB73" s="17"/>
      <c r="AC73" s="17"/>
      <c r="AD73" s="17"/>
    </row>
    <row r="74" spans="1:37" ht="12.75" customHeight="1" x14ac:dyDescent="0.35">
      <c r="A74" s="53"/>
      <c r="B74" s="5" t="s">
        <v>54</v>
      </c>
      <c r="C74" s="20">
        <f>SUM(C72:C73)</f>
        <v>0</v>
      </c>
      <c r="D74" s="36">
        <f>SUM(D72:D73)</f>
        <v>77564</v>
      </c>
      <c r="E74" s="20">
        <f>SUM(E72:E73)</f>
        <v>-1750</v>
      </c>
      <c r="F74" s="19"/>
      <c r="G74" s="36">
        <f>SUM(G72:G73)</f>
        <v>121231</v>
      </c>
      <c r="H74" s="36"/>
      <c r="I74" s="20">
        <f>SUM(I72:I73)</f>
        <v>0</v>
      </c>
      <c r="J74" s="20"/>
      <c r="K74" s="36">
        <f>SUM(K72:K73)</f>
        <v>127810.85</v>
      </c>
      <c r="L74" s="58"/>
      <c r="M74" s="32"/>
      <c r="N74" s="32"/>
      <c r="O74" s="36">
        <f>SUM(O72:O73)</f>
        <v>133576.39250000002</v>
      </c>
      <c r="P74" s="32"/>
      <c r="Q74" s="58"/>
      <c r="R74" s="58"/>
      <c r="S74" s="58"/>
      <c r="T74" s="58"/>
      <c r="U74" s="22"/>
      <c r="V74" s="22"/>
      <c r="W74" s="22"/>
      <c r="X74" s="22"/>
      <c r="Y74" s="22"/>
      <c r="Z74" s="22"/>
      <c r="AA74" s="22"/>
      <c r="AB74" s="22"/>
      <c r="AC74" s="22"/>
      <c r="AD74" s="22"/>
    </row>
    <row r="75" spans="1:37" ht="12.75" customHeight="1" x14ac:dyDescent="0.35">
      <c r="A75" s="53"/>
      <c r="C75" s="17"/>
      <c r="D75" s="37"/>
      <c r="E75" s="17"/>
      <c r="F75" s="17"/>
      <c r="G75" s="37"/>
      <c r="H75" s="37"/>
      <c r="I75" s="17"/>
      <c r="J75" s="17"/>
      <c r="K75" s="37"/>
      <c r="L75" s="37"/>
      <c r="M75" s="71"/>
      <c r="N75" s="71"/>
      <c r="O75" s="71"/>
      <c r="P75" s="71"/>
      <c r="Q75" s="37"/>
      <c r="R75" s="37"/>
      <c r="S75" s="37"/>
      <c r="T75" s="37"/>
      <c r="U75" s="17"/>
      <c r="V75" s="17"/>
      <c r="W75" s="17"/>
      <c r="X75" s="17"/>
      <c r="Y75" s="17"/>
      <c r="Z75" s="17"/>
      <c r="AA75" s="17"/>
      <c r="AB75" s="17"/>
      <c r="AC75" s="17"/>
      <c r="AD75" s="17"/>
    </row>
    <row r="76" spans="1:37" ht="12.75" customHeight="1" x14ac:dyDescent="0.35">
      <c r="A76" s="53">
        <v>5.5</v>
      </c>
      <c r="B76" s="3" t="s">
        <v>55</v>
      </c>
      <c r="C76" s="17"/>
      <c r="D76" s="37"/>
      <c r="E76" s="17"/>
      <c r="F76" s="17"/>
      <c r="G76" s="37"/>
      <c r="H76" s="37"/>
      <c r="I76" s="17"/>
      <c r="J76" s="17"/>
      <c r="K76" s="37"/>
      <c r="L76" s="37"/>
      <c r="M76" s="71"/>
      <c r="N76" s="71"/>
      <c r="O76" s="71"/>
      <c r="P76" s="71"/>
      <c r="Q76" s="37"/>
      <c r="R76" s="37"/>
      <c r="S76" s="37"/>
      <c r="T76" s="37"/>
      <c r="U76" s="17"/>
      <c r="V76" s="17"/>
      <c r="W76" s="17"/>
      <c r="X76" s="17"/>
      <c r="Y76" s="17"/>
      <c r="Z76" s="17"/>
      <c r="AA76" s="17"/>
      <c r="AB76" s="17"/>
      <c r="AC76" s="17"/>
      <c r="AD76" s="17"/>
      <c r="AK76">
        <v>100</v>
      </c>
    </row>
    <row r="77" spans="1:37" ht="12.75" customHeight="1" x14ac:dyDescent="0.35">
      <c r="A77" s="53"/>
      <c r="B77" s="1" t="s">
        <v>56</v>
      </c>
      <c r="C77" s="32">
        <v>0</v>
      </c>
      <c r="D77" s="35">
        <v>106264.3</v>
      </c>
      <c r="E77" s="32">
        <v>0</v>
      </c>
      <c r="F77" s="32"/>
      <c r="G77" s="35">
        <v>148964</v>
      </c>
      <c r="H77" s="35"/>
      <c r="I77" s="32">
        <v>0</v>
      </c>
      <c r="J77" s="32"/>
      <c r="K77" s="35">
        <f>116000*1.02</f>
        <v>118320</v>
      </c>
      <c r="L77" s="35"/>
      <c r="M77" s="32">
        <f>I77*1.02</f>
        <v>0</v>
      </c>
      <c r="N77" s="32"/>
      <c r="O77" s="32">
        <f>K77*1.02</f>
        <v>120686.40000000001</v>
      </c>
      <c r="P77" s="32" t="s">
        <v>253</v>
      </c>
      <c r="Q77" s="35" t="s">
        <v>216</v>
      </c>
      <c r="R77" s="35"/>
      <c r="S77" s="35"/>
      <c r="T77" s="35"/>
      <c r="U77" s="97" t="s">
        <v>222</v>
      </c>
      <c r="V77" s="17"/>
      <c r="W77" s="17"/>
      <c r="X77" s="17"/>
      <c r="Y77" s="17"/>
      <c r="Z77" s="17"/>
      <c r="AA77" s="17"/>
      <c r="AB77" s="17"/>
      <c r="AC77" s="17"/>
      <c r="AD77" s="17"/>
    </row>
    <row r="78" spans="1:37" ht="12.75" customHeight="1" x14ac:dyDescent="0.35">
      <c r="A78" s="53"/>
      <c r="B78" s="1" t="s">
        <v>57</v>
      </c>
      <c r="C78" s="32">
        <v>0</v>
      </c>
      <c r="D78" s="35">
        <v>80259.28</v>
      </c>
      <c r="E78" s="32">
        <v>0</v>
      </c>
      <c r="F78" s="32"/>
      <c r="G78" s="35">
        <v>73000</v>
      </c>
      <c r="H78" s="35"/>
      <c r="I78" s="32">
        <v>0</v>
      </c>
      <c r="J78" s="32"/>
      <c r="K78" s="35">
        <f>82000*1.02</f>
        <v>83640</v>
      </c>
      <c r="L78" s="35"/>
      <c r="M78" s="32">
        <f>I78*1.02</f>
        <v>0</v>
      </c>
      <c r="N78" s="32"/>
      <c r="O78" s="32">
        <f>K78*1.05</f>
        <v>87822</v>
      </c>
      <c r="P78" s="32" t="s">
        <v>252</v>
      </c>
      <c r="Q78" s="35" t="s">
        <v>217</v>
      </c>
      <c r="R78" s="35"/>
      <c r="S78" s="35"/>
      <c r="T78" s="35"/>
      <c r="U78" s="17"/>
      <c r="V78" s="17"/>
      <c r="W78" s="17"/>
      <c r="X78" s="17"/>
      <c r="Y78" s="17"/>
      <c r="Z78" s="17"/>
      <c r="AA78" s="17"/>
      <c r="AB78" s="17"/>
      <c r="AC78" s="17"/>
      <c r="AD78" s="17"/>
    </row>
    <row r="79" spans="1:37" ht="12.75" customHeight="1" x14ac:dyDescent="0.35">
      <c r="A79" s="53"/>
      <c r="B79" s="5" t="s">
        <v>58</v>
      </c>
      <c r="C79" s="20">
        <f>SUM(C77:C78)</f>
        <v>0</v>
      </c>
      <c r="D79" s="36">
        <f>SUM(D77:D78)</f>
        <v>186523.58000000002</v>
      </c>
      <c r="E79" s="20">
        <f>SUM(E77:E78)</f>
        <v>0</v>
      </c>
      <c r="F79" s="19"/>
      <c r="G79" s="36">
        <f>SUM(G77:G78)</f>
        <v>221964</v>
      </c>
      <c r="H79" s="36"/>
      <c r="I79" s="20">
        <f>SUM(I77:I78)</f>
        <v>0</v>
      </c>
      <c r="J79" s="20"/>
      <c r="K79" s="36">
        <f>SUM(K77:K78)</f>
        <v>201960</v>
      </c>
      <c r="L79" s="58"/>
      <c r="M79" s="20">
        <f>SUM(M77:M78)</f>
        <v>0</v>
      </c>
      <c r="N79" s="22"/>
      <c r="O79" s="36">
        <f>SUM(O77:O78)</f>
        <v>208508.40000000002</v>
      </c>
      <c r="P79" s="22"/>
      <c r="Q79" s="58"/>
      <c r="R79" s="58"/>
      <c r="S79" s="58"/>
      <c r="T79" s="58"/>
      <c r="U79" s="22"/>
      <c r="V79" s="22"/>
      <c r="W79" s="22"/>
      <c r="X79" s="22"/>
      <c r="Y79" s="22"/>
      <c r="Z79" s="22"/>
      <c r="AA79" s="22"/>
      <c r="AB79" s="22"/>
      <c r="AC79" s="22"/>
      <c r="AD79" s="22"/>
    </row>
    <row r="80" spans="1:37" ht="12.75" customHeight="1" x14ac:dyDescent="0.35">
      <c r="A80" s="53"/>
      <c r="C80" s="17"/>
      <c r="D80" s="37"/>
      <c r="E80" s="17"/>
      <c r="F80" s="17"/>
      <c r="G80" s="37"/>
      <c r="H80" s="37"/>
      <c r="I80" s="17"/>
      <c r="J80" s="17"/>
      <c r="K80" s="37"/>
      <c r="L80" s="37"/>
      <c r="M80" s="71"/>
      <c r="N80" s="71"/>
      <c r="O80" s="71"/>
      <c r="P80" s="71"/>
      <c r="Q80" s="37"/>
      <c r="R80" s="37"/>
      <c r="S80" s="37"/>
      <c r="T80" s="37"/>
      <c r="U80" s="17"/>
      <c r="V80" s="17"/>
      <c r="W80" s="17"/>
      <c r="X80" s="17"/>
      <c r="Y80" s="17"/>
      <c r="Z80" s="17"/>
      <c r="AA80" s="17"/>
      <c r="AB80" s="17"/>
      <c r="AC80" s="17"/>
      <c r="AD80" s="17"/>
    </row>
    <row r="81" spans="1:33" ht="12.75" customHeight="1" x14ac:dyDescent="0.35">
      <c r="A81" s="53">
        <v>5.6</v>
      </c>
      <c r="B81" s="3" t="s">
        <v>59</v>
      </c>
      <c r="C81" s="32"/>
      <c r="D81" s="35"/>
      <c r="E81" s="32"/>
      <c r="F81" s="32"/>
      <c r="G81" s="35"/>
      <c r="H81" s="35"/>
      <c r="I81" s="32"/>
      <c r="J81" s="32"/>
      <c r="K81" s="35"/>
      <c r="L81" s="35"/>
      <c r="M81" s="32"/>
      <c r="N81" s="32"/>
      <c r="O81" s="32"/>
      <c r="P81" s="32"/>
      <c r="Q81" s="35"/>
      <c r="R81" s="35"/>
      <c r="S81" s="35"/>
      <c r="T81" s="35"/>
      <c r="U81" s="17"/>
      <c r="V81" s="17"/>
      <c r="W81" s="17"/>
      <c r="X81" s="17"/>
      <c r="Y81" s="17"/>
      <c r="Z81" s="17"/>
      <c r="AA81" s="17"/>
      <c r="AB81" s="17"/>
      <c r="AC81" s="17"/>
      <c r="AD81" s="17"/>
    </row>
    <row r="82" spans="1:33" ht="12.75" customHeight="1" x14ac:dyDescent="0.35">
      <c r="A82" s="53"/>
      <c r="B82" s="1" t="s">
        <v>205</v>
      </c>
      <c r="C82" s="32">
        <v>0</v>
      </c>
      <c r="D82" s="35">
        <v>0</v>
      </c>
      <c r="E82" s="32">
        <v>15145.37</v>
      </c>
      <c r="F82" s="32"/>
      <c r="G82" s="35">
        <v>5729</v>
      </c>
      <c r="H82" s="63" t="s">
        <v>183</v>
      </c>
      <c r="I82" s="63">
        <f>900*150</f>
        <v>135000</v>
      </c>
      <c r="J82" s="32"/>
      <c r="K82" s="35"/>
      <c r="L82" s="35"/>
      <c r="M82" s="32">
        <v>5000</v>
      </c>
      <c r="N82" s="32"/>
      <c r="O82" s="32">
        <v>5000</v>
      </c>
      <c r="P82" s="32"/>
      <c r="Q82" s="35" t="s">
        <v>190</v>
      </c>
      <c r="R82" s="35"/>
      <c r="S82" s="35"/>
      <c r="T82" s="35"/>
      <c r="U82" s="18"/>
      <c r="V82" s="18"/>
      <c r="W82" s="18"/>
      <c r="X82" s="18"/>
      <c r="Y82" s="18"/>
      <c r="Z82" s="18"/>
      <c r="AA82" s="18"/>
      <c r="AB82" s="18"/>
      <c r="AC82" s="18"/>
      <c r="AD82" s="18"/>
    </row>
    <row r="83" spans="1:33" ht="12.75" customHeight="1" x14ac:dyDescent="0.35">
      <c r="A83" s="53"/>
      <c r="B83" s="1" t="s">
        <v>60</v>
      </c>
      <c r="C83" s="32">
        <v>45.45</v>
      </c>
      <c r="D83" s="35">
        <v>9168.18</v>
      </c>
      <c r="E83" s="32">
        <v>2449</v>
      </c>
      <c r="F83" s="32"/>
      <c r="G83" s="35"/>
      <c r="H83" s="35"/>
      <c r="I83" s="32"/>
      <c r="J83" s="32"/>
      <c r="K83" s="35"/>
      <c r="L83" s="35"/>
      <c r="M83" s="32"/>
      <c r="N83" s="32"/>
      <c r="O83" s="32"/>
      <c r="P83" s="32"/>
      <c r="Q83" s="35"/>
      <c r="R83" s="35"/>
      <c r="S83" s="35"/>
      <c r="T83" s="35"/>
      <c r="U83" s="17"/>
      <c r="V83" s="17"/>
      <c r="W83" s="17"/>
      <c r="X83" s="17"/>
      <c r="Y83" s="17"/>
      <c r="Z83" s="17"/>
      <c r="AA83" s="17"/>
      <c r="AB83" s="17"/>
      <c r="AC83" s="17"/>
      <c r="AD83" s="17"/>
    </row>
    <row r="84" spans="1:33" ht="12.75" customHeight="1" x14ac:dyDescent="0.35">
      <c r="A84" s="53"/>
      <c r="B84" s="5" t="s">
        <v>61</v>
      </c>
      <c r="C84" s="20">
        <f>SUM(C82:C83)</f>
        <v>45.45</v>
      </c>
      <c r="D84" s="36">
        <f>SUM(D82:D83)</f>
        <v>9168.18</v>
      </c>
      <c r="E84" s="20">
        <f>SUM(E82:E83)</f>
        <v>17594.370000000003</v>
      </c>
      <c r="F84" s="19"/>
      <c r="G84" s="36">
        <f>SUM(G82:G83)</f>
        <v>5729</v>
      </c>
      <c r="H84" s="36"/>
      <c r="I84" s="20">
        <f>SUM(I82:I83)</f>
        <v>135000</v>
      </c>
      <c r="J84" s="20"/>
      <c r="K84" s="36">
        <f>SUM(K82:K83)</f>
        <v>0</v>
      </c>
      <c r="L84" s="58"/>
      <c r="M84" s="20">
        <f>SUM(M82:M83)</f>
        <v>5000</v>
      </c>
      <c r="N84" s="22"/>
      <c r="O84" s="20">
        <f>SUM(O82:O83)</f>
        <v>5000</v>
      </c>
      <c r="P84" s="22"/>
      <c r="Q84" s="58"/>
      <c r="R84" s="58"/>
      <c r="S84" s="58"/>
      <c r="T84" s="58"/>
      <c r="U84" s="22"/>
      <c r="V84" s="22"/>
      <c r="W84" s="22"/>
      <c r="X84" s="22"/>
      <c r="Y84" s="22"/>
      <c r="Z84" s="22"/>
      <c r="AA84" s="22"/>
      <c r="AB84" s="22"/>
      <c r="AC84" s="22"/>
      <c r="AD84" s="22"/>
    </row>
    <row r="85" spans="1:33" ht="12.75" customHeight="1" x14ac:dyDescent="0.35">
      <c r="A85" s="53"/>
      <c r="C85" s="17"/>
      <c r="D85" s="37"/>
      <c r="E85" s="17"/>
      <c r="F85" s="17"/>
      <c r="G85" s="37"/>
      <c r="H85" s="37"/>
      <c r="I85" s="17"/>
      <c r="J85" s="17"/>
      <c r="K85" s="37"/>
      <c r="L85" s="37"/>
      <c r="M85" s="71"/>
      <c r="N85" s="71"/>
      <c r="O85" s="71"/>
      <c r="P85" s="71"/>
      <c r="Q85" s="37"/>
      <c r="R85" s="37"/>
      <c r="S85" s="37"/>
      <c r="T85" s="37"/>
      <c r="U85" s="17"/>
      <c r="V85" s="17"/>
      <c r="W85" s="17"/>
      <c r="X85" s="17"/>
      <c r="Y85" s="17"/>
      <c r="Z85" s="17"/>
      <c r="AA85" s="17"/>
      <c r="AB85" s="17"/>
      <c r="AC85" s="17"/>
      <c r="AD85" s="17"/>
    </row>
    <row r="86" spans="1:33" ht="12.75" customHeight="1" thickBot="1" x14ac:dyDescent="0.4">
      <c r="A86" s="53"/>
      <c r="B86" s="6" t="s">
        <v>62</v>
      </c>
      <c r="C86" s="16">
        <f>(0+((C61))+(C64)+(C69)+(C74)+(C79)+(C84))-(0)</f>
        <v>58252.53</v>
      </c>
      <c r="D86" s="38">
        <f>(0+((D61))+(D64)+(D69)+(D74)+(D79)+(D84))-(0)</f>
        <v>274151.21000000002</v>
      </c>
      <c r="E86" s="16">
        <f>(0+((E61))+(E64)+(E69)+(E74)+(E79)+(E84))-(0)</f>
        <v>139448.82</v>
      </c>
      <c r="F86" s="19"/>
      <c r="G86" s="38">
        <f>(0+((G61))+(G64)+(G69)+(G74)+(G79)+(G84))-(0)</f>
        <v>459079</v>
      </c>
      <c r="H86" s="38"/>
      <c r="I86" s="16">
        <f>(0+((I61))+(I64)+(I69)+(I74)+(I79)+(I84))-(0)</f>
        <v>266416.70999999996</v>
      </c>
      <c r="J86" s="16"/>
      <c r="K86" s="38">
        <f>(0+((K61))+(K64)+(K69)+(K74)+(K79)+(K84))-(0)</f>
        <v>364770.85</v>
      </c>
      <c r="L86" s="58"/>
      <c r="M86" s="16">
        <f>(0+((M61))+(M64)+(M69)+(M74)+(M79)+(M84))-(0)</f>
        <v>144000</v>
      </c>
      <c r="N86" s="22"/>
      <c r="O86" s="16">
        <f>(0+((O61))+(O64)+(O69)+(O74)+(O79)+(O84))-(0)</f>
        <v>385084.79250000004</v>
      </c>
      <c r="P86" s="22"/>
      <c r="Q86" s="58"/>
      <c r="R86" s="58"/>
      <c r="S86" s="58"/>
      <c r="T86" s="58"/>
      <c r="U86" s="22"/>
      <c r="V86" s="22"/>
      <c r="W86" s="22"/>
      <c r="X86" s="22"/>
      <c r="Y86" s="22"/>
      <c r="Z86" s="22"/>
      <c r="AA86" s="22"/>
      <c r="AB86" s="22"/>
      <c r="AC86" s="22"/>
      <c r="AD86" s="22"/>
    </row>
    <row r="87" spans="1:33" ht="12.75" customHeight="1" thickTop="1" x14ac:dyDescent="0.35">
      <c r="A87" s="53"/>
      <c r="C87" s="17"/>
      <c r="D87" s="37"/>
      <c r="E87" s="17"/>
      <c r="F87" s="17"/>
      <c r="G87" s="37"/>
      <c r="H87" s="37"/>
      <c r="I87" s="17"/>
      <c r="J87" s="17"/>
      <c r="K87" s="37"/>
      <c r="L87" s="37"/>
      <c r="M87" s="71"/>
      <c r="N87" s="71"/>
      <c r="O87" s="71"/>
      <c r="P87" s="71"/>
      <c r="Q87" s="37"/>
      <c r="R87" s="37"/>
      <c r="S87" s="37"/>
      <c r="T87" s="37"/>
      <c r="U87" s="17"/>
      <c r="V87" s="17"/>
      <c r="W87" s="17"/>
      <c r="X87" s="17"/>
      <c r="Y87" s="17"/>
      <c r="Z87" s="17"/>
      <c r="AA87" s="17"/>
      <c r="AB87" s="17"/>
      <c r="AC87" s="17"/>
      <c r="AD87" s="17"/>
    </row>
    <row r="88" spans="1:33" ht="12.75" customHeight="1" thickBot="1" x14ac:dyDescent="0.4">
      <c r="A88" s="53"/>
      <c r="B88" s="6" t="s">
        <v>63</v>
      </c>
      <c r="C88" s="16">
        <f>(0+(0)+(C19)+(C58)+(C52)+(C86))-(0)</f>
        <v>511062.99</v>
      </c>
      <c r="D88" s="38">
        <f>(0+(0)+(D19)+(D58)+(D52)+(D86))-(0)</f>
        <v>850866.40000000014</v>
      </c>
      <c r="E88" s="16">
        <f>(0+(0)+(E19)+(E58)+(E52)+(E86))-(0)</f>
        <v>721981.52</v>
      </c>
      <c r="F88" s="19"/>
      <c r="G88" s="38">
        <f>(0+(0)+(G19)+(G58)+(G52)+(G86))-(0)</f>
        <v>1050668.3494690908</v>
      </c>
      <c r="H88" s="38"/>
      <c r="I88" s="16">
        <f>(0+(0)+(I19)+(I58)+(I52)+(I86))-(0)</f>
        <v>879912.47745454544</v>
      </c>
      <c r="J88" s="16"/>
      <c r="K88" s="38">
        <f>(0+(0)+(K19)+(K58)+(K52)+(K86))-(0)</f>
        <v>998041.4058272728</v>
      </c>
      <c r="L88" s="58"/>
      <c r="M88" s="16">
        <f>(0+(0)+(M19)+(M58)+(M52)+(M86))-(0)</f>
        <v>801711.38361863652</v>
      </c>
      <c r="N88" s="22"/>
      <c r="O88" s="16">
        <f>(0+(0)+(O19)+(O58)+(O52)+(O86))-(0)</f>
        <v>1034248.4031926398</v>
      </c>
      <c r="P88" s="22"/>
      <c r="Q88" s="58"/>
      <c r="R88" s="58"/>
      <c r="S88" s="58"/>
      <c r="T88" s="58"/>
      <c r="U88" s="22"/>
      <c r="V88" s="22"/>
      <c r="W88" s="22"/>
      <c r="X88" s="22"/>
      <c r="Y88" s="22"/>
      <c r="Z88" s="22"/>
      <c r="AA88" s="22"/>
      <c r="AB88" s="22"/>
      <c r="AC88" s="22"/>
      <c r="AD88" s="22"/>
    </row>
    <row r="89" spans="1:33" ht="12.75" customHeight="1" thickTop="1" x14ac:dyDescent="0.35">
      <c r="A89" s="53"/>
      <c r="C89" s="17"/>
      <c r="D89" s="37"/>
      <c r="E89" s="17"/>
      <c r="F89" s="17"/>
      <c r="G89" s="37"/>
      <c r="H89" s="37"/>
      <c r="I89" s="17"/>
      <c r="J89" s="17"/>
      <c r="K89" s="37"/>
      <c r="L89" s="37"/>
      <c r="M89" s="71"/>
      <c r="N89" s="71"/>
      <c r="O89" s="71"/>
      <c r="P89" s="71"/>
      <c r="Q89" s="37"/>
      <c r="R89" s="37"/>
      <c r="S89" s="37"/>
      <c r="T89" s="37"/>
      <c r="U89" s="17"/>
      <c r="V89" s="17"/>
      <c r="W89" s="17"/>
      <c r="X89" s="17"/>
      <c r="Y89" s="17"/>
      <c r="Z89" s="17"/>
      <c r="AA89" s="17"/>
      <c r="AB89" s="17"/>
      <c r="AC89" s="17"/>
      <c r="AD89" s="17"/>
    </row>
    <row r="90" spans="1:33" ht="12.75" customHeight="1" thickBot="1" x14ac:dyDescent="0.4">
      <c r="A90" s="53"/>
      <c r="B90" s="6" t="s">
        <v>64</v>
      </c>
      <c r="C90" s="8">
        <f>(C88)-(0)</f>
        <v>511062.99</v>
      </c>
      <c r="D90" s="39">
        <f>(D88)-(0)</f>
        <v>850866.40000000014</v>
      </c>
      <c r="E90" s="8">
        <f>(E88)-(0)</f>
        <v>721981.52</v>
      </c>
      <c r="F90" s="2"/>
      <c r="G90" s="38">
        <f>(G88)-(0)</f>
        <v>1050668.3494690908</v>
      </c>
      <c r="H90" s="38"/>
      <c r="I90" s="38">
        <f>(I88)-(0)</f>
        <v>879912.47745454544</v>
      </c>
      <c r="J90" s="16"/>
      <c r="K90" s="38">
        <f>(K88)-(0)</f>
        <v>998041.4058272728</v>
      </c>
      <c r="L90" s="58"/>
      <c r="M90" s="16">
        <f>(M88)-(0)</f>
        <v>801711.38361863652</v>
      </c>
      <c r="N90" s="22"/>
      <c r="O90" s="16">
        <f>(O88)-(0)</f>
        <v>1034248.4031926398</v>
      </c>
      <c r="P90" s="22"/>
      <c r="Q90" s="58"/>
      <c r="R90" s="58"/>
      <c r="S90" s="58"/>
      <c r="T90" s="58"/>
      <c r="U90" s="22"/>
      <c r="V90" s="22"/>
      <c r="W90" s="22"/>
      <c r="X90" s="22"/>
      <c r="Y90" s="22"/>
      <c r="Z90" s="22"/>
      <c r="AA90" s="22"/>
      <c r="AB90" s="22"/>
      <c r="AC90" s="22"/>
      <c r="AD90" s="22"/>
      <c r="AG90" s="14"/>
    </row>
    <row r="91" spans="1:33" ht="12.75" customHeight="1" thickTop="1" x14ac:dyDescent="0.35">
      <c r="A91" s="53"/>
    </row>
    <row r="92" spans="1:33" ht="12.75" customHeight="1" x14ac:dyDescent="0.35">
      <c r="A92" s="53"/>
      <c r="B92" s="3" t="s">
        <v>65</v>
      </c>
      <c r="M92" s="71"/>
      <c r="N92" s="71"/>
      <c r="O92" s="71"/>
      <c r="P92" s="71"/>
    </row>
    <row r="93" spans="1:33" ht="12.75" customHeight="1" x14ac:dyDescent="0.35">
      <c r="A93" s="53"/>
    </row>
    <row r="94" spans="1:33" ht="12.75" customHeight="1" x14ac:dyDescent="0.35">
      <c r="A94" s="53">
        <v>6</v>
      </c>
      <c r="B94" s="3" t="s">
        <v>66</v>
      </c>
      <c r="H94"/>
      <c r="L94"/>
    </row>
    <row r="95" spans="1:33" ht="12.75" customHeight="1" x14ac:dyDescent="0.35">
      <c r="A95" s="53">
        <v>6.1</v>
      </c>
      <c r="B95" s="1" t="s">
        <v>220</v>
      </c>
      <c r="C95" s="32">
        <v>0</v>
      </c>
      <c r="D95" s="35">
        <v>0</v>
      </c>
      <c r="E95" s="32">
        <v>14859.82</v>
      </c>
      <c r="F95" s="64">
        <v>14700</v>
      </c>
      <c r="G95" s="35">
        <v>18200</v>
      </c>
      <c r="I95" s="32">
        <v>21000</v>
      </c>
      <c r="J95" s="32"/>
      <c r="K95" s="35">
        <f>I95*1.02</f>
        <v>21420</v>
      </c>
      <c r="L95" s="32"/>
      <c r="M95" s="32">
        <f>K95*1.02</f>
        <v>21848.400000000001</v>
      </c>
      <c r="N95" s="32"/>
      <c r="O95" s="32">
        <v>21100</v>
      </c>
      <c r="P95" s="32"/>
      <c r="Q95" s="35" t="s">
        <v>191</v>
      </c>
      <c r="R95" s="35"/>
      <c r="S95" s="35"/>
      <c r="T95" s="35"/>
      <c r="U95" s="1"/>
      <c r="V95" s="1"/>
      <c r="W95" s="1"/>
      <c r="X95" s="1"/>
      <c r="Y95" s="1"/>
      <c r="Z95" s="1"/>
      <c r="AA95" s="1"/>
      <c r="AB95" s="1"/>
      <c r="AC95" s="1"/>
      <c r="AD95" s="1"/>
    </row>
    <row r="96" spans="1:33" ht="12.75" customHeight="1" x14ac:dyDescent="0.35">
      <c r="A96" s="53">
        <v>6.2</v>
      </c>
      <c r="B96" s="1" t="s">
        <v>68</v>
      </c>
      <c r="C96" s="32">
        <v>31788.2</v>
      </c>
      <c r="D96" s="35">
        <v>53513</v>
      </c>
      <c r="E96" s="32">
        <v>50666.52</v>
      </c>
      <c r="F96" s="64">
        <v>24500</v>
      </c>
      <c r="G96" s="35">
        <v>35000</v>
      </c>
      <c r="I96" s="32">
        <f>G96*1.02</f>
        <v>35700</v>
      </c>
      <c r="J96" s="32"/>
      <c r="K96" s="32">
        <f>I96*1.02</f>
        <v>36414</v>
      </c>
      <c r="L96" s="32"/>
      <c r="M96" s="32">
        <f>K96*1.02</f>
        <v>37142.28</v>
      </c>
      <c r="N96" s="32"/>
      <c r="O96" s="32">
        <f>M96*1.02</f>
        <v>37885.125599999999</v>
      </c>
      <c r="P96" s="32" t="s">
        <v>242</v>
      </c>
      <c r="Q96" s="35" t="s">
        <v>192</v>
      </c>
      <c r="R96" s="35"/>
      <c r="S96" s="35"/>
      <c r="T96" s="35"/>
      <c r="U96" s="1"/>
      <c r="V96" s="1"/>
      <c r="W96" s="1"/>
      <c r="X96" s="1"/>
      <c r="Y96" s="1"/>
      <c r="Z96" s="1"/>
      <c r="AA96" s="1"/>
      <c r="AB96" s="1"/>
      <c r="AC96" s="1"/>
      <c r="AD96" s="1"/>
    </row>
    <row r="97" spans="1:32" ht="12.75" customHeight="1" x14ac:dyDescent="0.35">
      <c r="A97" s="53"/>
      <c r="H97"/>
      <c r="L97"/>
    </row>
    <row r="98" spans="1:32" ht="12.75" customHeight="1" x14ac:dyDescent="0.35">
      <c r="A98" s="53">
        <v>7</v>
      </c>
      <c r="B98" s="3" t="s">
        <v>69</v>
      </c>
      <c r="H98"/>
      <c r="L98"/>
    </row>
    <row r="99" spans="1:32" ht="12.75" customHeight="1" x14ac:dyDescent="0.35">
      <c r="A99" s="53"/>
      <c r="B99" s="1" t="s">
        <v>70</v>
      </c>
      <c r="C99" s="1">
        <v>10781.65</v>
      </c>
      <c r="D99" s="40">
        <v>28145.72</v>
      </c>
      <c r="E99" s="1">
        <v>7276.29</v>
      </c>
      <c r="F99" s="64">
        <v>11783.060000000001</v>
      </c>
      <c r="G99" s="40">
        <v>15000</v>
      </c>
      <c r="H99" s="2"/>
      <c r="I99" s="65">
        <v>10000</v>
      </c>
      <c r="J99" s="2"/>
      <c r="K99" s="65">
        <v>8000</v>
      </c>
      <c r="L99" s="2"/>
      <c r="M99" s="1">
        <v>10000</v>
      </c>
      <c r="N99" s="1"/>
      <c r="O99" s="1">
        <v>8000</v>
      </c>
      <c r="P99" s="1"/>
      <c r="Q99" s="65" t="s">
        <v>193</v>
      </c>
      <c r="R99" s="65"/>
      <c r="S99" s="65"/>
      <c r="T99" s="65"/>
      <c r="U99" s="1"/>
      <c r="V99" s="1"/>
      <c r="W99" s="1"/>
      <c r="X99" s="1"/>
      <c r="Y99" s="1"/>
      <c r="Z99" s="1"/>
      <c r="AA99" s="1"/>
      <c r="AB99" s="1"/>
      <c r="AC99" s="1"/>
      <c r="AD99" s="1"/>
    </row>
    <row r="100" spans="1:32" ht="12.75" customHeight="1" x14ac:dyDescent="0.35">
      <c r="A100" s="53"/>
      <c r="B100" s="5" t="s">
        <v>71</v>
      </c>
      <c r="C100" s="7">
        <f>SUM(C99:C99)</f>
        <v>10781.65</v>
      </c>
      <c r="D100" s="41">
        <f>SUM(D99:D99)</f>
        <v>28145.72</v>
      </c>
      <c r="E100" s="7">
        <f>SUM(E99:E99)</f>
        <v>7276.29</v>
      </c>
      <c r="F100" s="2"/>
      <c r="G100" s="41">
        <f>SUM(G99:G99)</f>
        <v>15000</v>
      </c>
      <c r="H100" s="2"/>
      <c r="I100" s="7">
        <f>SUM(I99:I99)</f>
        <v>10000</v>
      </c>
      <c r="J100" s="2"/>
      <c r="K100" s="41">
        <f>SUM(K99:K99)</f>
        <v>8000</v>
      </c>
      <c r="L100" s="2"/>
      <c r="M100" s="7">
        <f>SUM(M99:M99)</f>
        <v>10000</v>
      </c>
      <c r="N100" s="3"/>
      <c r="O100" s="7">
        <f>SUM(O99:O99)</f>
        <v>8000</v>
      </c>
      <c r="P100" s="3"/>
      <c r="Q100" s="67"/>
      <c r="R100" s="67"/>
      <c r="S100" s="67"/>
      <c r="T100" s="67"/>
      <c r="U100" s="3"/>
      <c r="V100" s="3"/>
      <c r="W100" s="3"/>
      <c r="X100" s="3"/>
      <c r="Y100" s="3"/>
      <c r="Z100" s="3"/>
      <c r="AA100" s="3"/>
      <c r="AB100" s="3"/>
      <c r="AC100" s="3"/>
      <c r="AD100" s="3"/>
    </row>
    <row r="101" spans="1:32" ht="12.75" customHeight="1" x14ac:dyDescent="0.35">
      <c r="A101" s="53"/>
      <c r="H101"/>
      <c r="L101"/>
    </row>
    <row r="102" spans="1:32" ht="12.75" customHeight="1" thickBot="1" x14ac:dyDescent="0.4">
      <c r="A102" s="53"/>
      <c r="B102" s="6" t="s">
        <v>72</v>
      </c>
      <c r="C102" s="8">
        <f>(0+((C95+C96))+(C100))-(0)</f>
        <v>42569.85</v>
      </c>
      <c r="D102" s="39">
        <f>(0+((D95+D96))+(D100))-(0)</f>
        <v>81658.720000000001</v>
      </c>
      <c r="E102" s="8">
        <f>(0+((E95+E96))+(E100))-(0)</f>
        <v>72802.62999999999</v>
      </c>
      <c r="F102" s="62">
        <f>E102</f>
        <v>72802.62999999999</v>
      </c>
      <c r="G102" s="39">
        <f>(0+((G95+G96))+(G100))-(0)</f>
        <v>68200</v>
      </c>
      <c r="H102" s="62">
        <f>G102</f>
        <v>68200</v>
      </c>
      <c r="I102" s="8">
        <f>(0+((I95+I96))+(I100))-(0)</f>
        <v>66700</v>
      </c>
      <c r="J102" s="62">
        <f>I102</f>
        <v>66700</v>
      </c>
      <c r="K102" s="39">
        <f>(0+((K95+K96))+(K100))-(0)</f>
        <v>65834</v>
      </c>
      <c r="L102" s="62">
        <f>K102</f>
        <v>65834</v>
      </c>
      <c r="M102" s="8">
        <f>(0+((M95+M96))+(M100))-(0)</f>
        <v>68990.679999999993</v>
      </c>
      <c r="N102" s="3"/>
      <c r="O102" s="8">
        <f>(0+((O95+O96))+(O100))-(0)</f>
        <v>66985.125599999999</v>
      </c>
      <c r="P102" s="3"/>
      <c r="Q102" s="67"/>
      <c r="R102" s="67"/>
      <c r="S102" s="67"/>
      <c r="T102" s="67"/>
      <c r="U102" s="3"/>
      <c r="V102" s="3"/>
      <c r="W102" s="3"/>
      <c r="X102" s="3"/>
      <c r="Y102" s="3"/>
      <c r="Z102" s="3"/>
      <c r="AA102" s="3"/>
      <c r="AB102" s="3"/>
      <c r="AC102" s="3"/>
      <c r="AD102" s="3"/>
      <c r="AF102" s="14">
        <f>G102/4</f>
        <v>17050</v>
      </c>
    </row>
    <row r="103" spans="1:32" ht="12.75" customHeight="1" thickTop="1" x14ac:dyDescent="0.35">
      <c r="A103" s="53"/>
      <c r="H103"/>
      <c r="L103"/>
    </row>
    <row r="104" spans="1:32" ht="12.75" customHeight="1" x14ac:dyDescent="0.35">
      <c r="A104" s="53">
        <v>8</v>
      </c>
      <c r="B104" s="3" t="s">
        <v>73</v>
      </c>
      <c r="H104"/>
      <c r="L104"/>
      <c r="Q104" s="67"/>
      <c r="R104" s="67"/>
      <c r="S104" s="67"/>
      <c r="T104" s="67"/>
    </row>
    <row r="105" spans="1:32" ht="12.75" customHeight="1" x14ac:dyDescent="0.35">
      <c r="A105" s="53"/>
      <c r="B105" s="1" t="s">
        <v>74</v>
      </c>
      <c r="C105" s="32">
        <v>11116.76</v>
      </c>
      <c r="D105" s="35">
        <v>13133.59</v>
      </c>
      <c r="E105" s="32">
        <v>10183.49</v>
      </c>
      <c r="F105" s="64">
        <v>8306.3700000000008</v>
      </c>
      <c r="G105" s="35">
        <v>10600</v>
      </c>
      <c r="H105" s="32"/>
      <c r="I105" s="32">
        <v>10500</v>
      </c>
      <c r="J105" s="32"/>
      <c r="K105" s="63">
        <f>I105*1.05</f>
        <v>11025</v>
      </c>
      <c r="L105" s="32"/>
      <c r="M105" s="32">
        <f>K105*1.05</f>
        <v>11576.25</v>
      </c>
      <c r="N105" s="32"/>
      <c r="O105" s="32">
        <f>M105*1.05</f>
        <v>12155.0625</v>
      </c>
      <c r="P105" s="32" t="s">
        <v>243</v>
      </c>
      <c r="Q105" s="67"/>
      <c r="R105" s="67"/>
      <c r="S105" s="67"/>
      <c r="T105" s="67"/>
      <c r="U105" s="1"/>
      <c r="V105" s="1"/>
      <c r="W105" s="1"/>
      <c r="X105" s="1"/>
      <c r="Y105" s="1"/>
      <c r="Z105" s="1"/>
      <c r="AA105" s="1"/>
      <c r="AB105" s="1"/>
      <c r="AC105" s="1"/>
      <c r="AD105" s="1"/>
    </row>
    <row r="106" spans="1:32" ht="12.75" customHeight="1" x14ac:dyDescent="0.35">
      <c r="A106" s="53"/>
      <c r="B106" s="1" t="s">
        <v>75</v>
      </c>
      <c r="C106" s="32">
        <v>384</v>
      </c>
      <c r="D106" s="35">
        <v>342</v>
      </c>
      <c r="E106" s="32">
        <v>47</v>
      </c>
      <c r="F106" s="64">
        <v>949.49999999999989</v>
      </c>
      <c r="G106" s="35">
        <v>342</v>
      </c>
      <c r="H106" s="32"/>
      <c r="I106" s="63">
        <v>950</v>
      </c>
      <c r="J106" s="32"/>
      <c r="K106" s="35">
        <f>I106*1.02</f>
        <v>969</v>
      </c>
      <c r="L106" s="32"/>
      <c r="M106" s="35">
        <f>K106*1.02</f>
        <v>988.38</v>
      </c>
      <c r="N106" s="35"/>
      <c r="O106" s="35">
        <f>M106*1.02</f>
        <v>1008.1476</v>
      </c>
      <c r="P106" s="35" t="s">
        <v>244</v>
      </c>
      <c r="Q106" s="67" t="s">
        <v>194</v>
      </c>
      <c r="R106" s="67"/>
      <c r="S106" s="67"/>
      <c r="T106" s="67"/>
      <c r="U106" s="1"/>
      <c r="V106" s="1"/>
      <c r="W106" s="1"/>
      <c r="X106" s="1"/>
      <c r="Y106" s="1"/>
      <c r="Z106" s="1"/>
      <c r="AA106" s="1"/>
      <c r="AB106" s="1"/>
      <c r="AC106" s="1"/>
      <c r="AD106" s="1"/>
    </row>
    <row r="107" spans="1:32" ht="12.75" customHeight="1" x14ac:dyDescent="0.35">
      <c r="A107" s="53"/>
      <c r="B107" s="1" t="s">
        <v>76</v>
      </c>
      <c r="C107" s="32">
        <v>7454.24</v>
      </c>
      <c r="D107" s="35">
        <v>4785.18</v>
      </c>
      <c r="E107" s="32">
        <v>4138.21</v>
      </c>
      <c r="F107" s="64">
        <v>6576.6699999999992</v>
      </c>
      <c r="G107" s="35">
        <v>4700</v>
      </c>
      <c r="H107" s="32"/>
      <c r="I107" s="63">
        <v>7000</v>
      </c>
      <c r="J107" s="32"/>
      <c r="K107" s="63">
        <f>I107*1.05</f>
        <v>7350</v>
      </c>
      <c r="L107" s="32"/>
      <c r="M107" s="32">
        <f>K107*1.05</f>
        <v>7717.5</v>
      </c>
      <c r="N107" s="32"/>
      <c r="O107" s="32">
        <f>M107*1.05</f>
        <v>8103.375</v>
      </c>
      <c r="P107" s="32" t="s">
        <v>245</v>
      </c>
      <c r="Q107" s="67" t="s">
        <v>195</v>
      </c>
      <c r="R107" s="67"/>
      <c r="S107" s="67"/>
      <c r="T107" s="67"/>
      <c r="U107" s="1"/>
      <c r="V107" s="1"/>
      <c r="W107" s="1"/>
      <c r="X107" s="1"/>
      <c r="Y107" s="1"/>
      <c r="Z107" s="1"/>
      <c r="AA107" s="1"/>
      <c r="AB107" s="1"/>
      <c r="AC107" s="1"/>
      <c r="AD107" s="1"/>
    </row>
    <row r="108" spans="1:32" ht="12.75" customHeight="1" x14ac:dyDescent="0.35">
      <c r="A108" s="53"/>
      <c r="B108" s="1" t="s">
        <v>77</v>
      </c>
      <c r="C108" s="32">
        <v>145.12</v>
      </c>
      <c r="D108" s="35">
        <v>0</v>
      </c>
      <c r="E108" s="32">
        <v>0</v>
      </c>
      <c r="F108" s="64"/>
      <c r="G108" s="35">
        <v>0</v>
      </c>
      <c r="H108" s="32"/>
      <c r="I108" s="32">
        <v>0</v>
      </c>
      <c r="J108" s="32"/>
      <c r="K108" s="35">
        <v>0</v>
      </c>
      <c r="L108" s="32"/>
      <c r="M108" s="32">
        <v>0</v>
      </c>
      <c r="N108" s="32"/>
      <c r="O108" s="32">
        <v>0</v>
      </c>
      <c r="P108" s="32"/>
      <c r="Q108" s="67"/>
      <c r="R108" s="67"/>
      <c r="S108" s="67"/>
      <c r="T108" s="67"/>
      <c r="U108" s="1"/>
      <c r="V108" s="1"/>
      <c r="W108" s="1"/>
      <c r="X108" s="1"/>
      <c r="Y108" s="1"/>
      <c r="Z108" s="1"/>
      <c r="AA108" s="1"/>
      <c r="AB108" s="1"/>
      <c r="AC108" s="1"/>
      <c r="AD108" s="1"/>
    </row>
    <row r="109" spans="1:32" ht="12.75" customHeight="1" x14ac:dyDescent="0.35">
      <c r="A109" s="53"/>
      <c r="B109" s="1" t="s">
        <v>78</v>
      </c>
      <c r="C109" s="32">
        <v>4816.58</v>
      </c>
      <c r="D109" s="35">
        <v>4783.4399999999996</v>
      </c>
      <c r="E109" s="32">
        <v>4073.95</v>
      </c>
      <c r="F109" s="64">
        <v>5690.3700000000008</v>
      </c>
      <c r="G109" s="35">
        <v>4200</v>
      </c>
      <c r="H109" s="32"/>
      <c r="I109" s="63">
        <v>5500</v>
      </c>
      <c r="J109" s="32"/>
      <c r="K109" s="63">
        <f>I109*1.05</f>
        <v>5775</v>
      </c>
      <c r="L109" s="32"/>
      <c r="M109" s="32">
        <f>K109*1.05</f>
        <v>6063.75</v>
      </c>
      <c r="N109" s="32"/>
      <c r="O109" s="32">
        <f>M109*1.1</f>
        <v>6670.1250000000009</v>
      </c>
      <c r="P109" s="32" t="s">
        <v>246</v>
      </c>
      <c r="Q109" s="67" t="s">
        <v>196</v>
      </c>
      <c r="R109" s="67"/>
      <c r="S109" s="67"/>
      <c r="T109" s="67"/>
      <c r="U109" s="1"/>
      <c r="V109" s="1"/>
      <c r="W109" s="1"/>
      <c r="X109" s="1"/>
      <c r="Y109" s="1"/>
      <c r="Z109" s="1"/>
      <c r="AA109" s="1"/>
      <c r="AB109" s="1"/>
      <c r="AC109" s="1"/>
      <c r="AD109" s="1"/>
    </row>
    <row r="110" spans="1:32" ht="12.75" customHeight="1" x14ac:dyDescent="0.35">
      <c r="A110" s="53"/>
      <c r="B110" s="1" t="s">
        <v>79</v>
      </c>
      <c r="C110" s="32">
        <v>0.05</v>
      </c>
      <c r="D110" s="35">
        <v>0</v>
      </c>
      <c r="E110" s="32">
        <v>0</v>
      </c>
      <c r="F110" s="64"/>
      <c r="G110" s="35">
        <v>0</v>
      </c>
      <c r="H110" s="32"/>
      <c r="I110" s="32">
        <v>0</v>
      </c>
      <c r="J110" s="32"/>
      <c r="K110" s="35">
        <v>0</v>
      </c>
      <c r="L110" s="32"/>
      <c r="M110" s="32">
        <v>0</v>
      </c>
      <c r="N110" s="32"/>
      <c r="O110" s="32">
        <v>0</v>
      </c>
      <c r="P110" s="32"/>
      <c r="Q110" s="67"/>
      <c r="R110" s="67"/>
      <c r="S110" s="67"/>
      <c r="T110" s="67"/>
      <c r="U110" s="1"/>
      <c r="V110" s="1"/>
      <c r="W110" s="1"/>
      <c r="X110" s="1"/>
      <c r="Y110" s="1"/>
      <c r="Z110" s="1"/>
      <c r="AA110" s="1"/>
      <c r="AB110" s="1"/>
      <c r="AC110" s="1"/>
      <c r="AD110" s="1"/>
    </row>
    <row r="111" spans="1:32" ht="12.75" customHeight="1" x14ac:dyDescent="0.35">
      <c r="A111" s="53"/>
      <c r="B111" s="1" t="s">
        <v>80</v>
      </c>
      <c r="C111" s="32">
        <v>17090.11</v>
      </c>
      <c r="D111" s="35">
        <v>7066.4</v>
      </c>
      <c r="E111" s="32">
        <v>4620.67</v>
      </c>
      <c r="F111" s="64">
        <v>4532.21</v>
      </c>
      <c r="G111" s="73"/>
      <c r="H111" s="32"/>
      <c r="I111" s="32">
        <f>F111-(F111*0.02)</f>
        <v>4441.5658000000003</v>
      </c>
      <c r="J111" s="32"/>
      <c r="K111" s="35">
        <f>I111-(I111*0.02)</f>
        <v>4352.7344840000005</v>
      </c>
      <c r="L111" s="32"/>
      <c r="M111" s="35">
        <f>K111-(K111*0.02)</f>
        <v>4265.6797943200008</v>
      </c>
      <c r="N111" s="35"/>
      <c r="O111" s="35">
        <f>M111-(M111*0.02)</f>
        <v>4180.3661984336004</v>
      </c>
      <c r="P111" s="35" t="s">
        <v>247</v>
      </c>
      <c r="Q111" s="67" t="s">
        <v>197</v>
      </c>
      <c r="R111" s="67"/>
      <c r="S111" s="67"/>
      <c r="T111" s="67"/>
      <c r="U111" s="1"/>
      <c r="V111" s="1"/>
      <c r="W111" s="1"/>
      <c r="X111" s="1"/>
      <c r="Y111" s="1"/>
      <c r="Z111" s="1"/>
      <c r="AA111" s="1"/>
      <c r="AB111" s="1"/>
      <c r="AC111" s="1"/>
      <c r="AD111" s="1"/>
    </row>
    <row r="112" spans="1:32" ht="12.75" customHeight="1" x14ac:dyDescent="0.35">
      <c r="A112" s="53"/>
      <c r="B112" s="1" t="s">
        <v>81</v>
      </c>
      <c r="C112" s="32">
        <v>0.05</v>
      </c>
      <c r="D112" s="35">
        <v>0</v>
      </c>
      <c r="E112" s="32">
        <v>0</v>
      </c>
      <c r="F112" s="64"/>
      <c r="G112" s="35">
        <v>0</v>
      </c>
      <c r="H112" s="32"/>
      <c r="I112" s="32">
        <v>0</v>
      </c>
      <c r="J112" s="32"/>
      <c r="K112" s="35">
        <v>0</v>
      </c>
      <c r="L112" s="32"/>
      <c r="M112" s="32">
        <v>0</v>
      </c>
      <c r="N112" s="32"/>
      <c r="O112" s="32"/>
      <c r="P112" s="32"/>
      <c r="Q112" s="67"/>
      <c r="R112" s="67"/>
      <c r="S112" s="67"/>
      <c r="T112" s="67"/>
      <c r="U112" s="1"/>
      <c r="V112" s="1"/>
      <c r="W112" s="1"/>
      <c r="X112" s="1"/>
      <c r="Y112" s="1"/>
      <c r="Z112" s="1"/>
      <c r="AA112" s="1"/>
      <c r="AB112" s="1"/>
      <c r="AC112" s="1"/>
      <c r="AD112" s="1"/>
    </row>
    <row r="113" spans="1:36" ht="12.75" customHeight="1" x14ac:dyDescent="0.35">
      <c r="A113" s="53"/>
      <c r="B113" s="1" t="s">
        <v>82</v>
      </c>
      <c r="C113" s="32">
        <v>6348.78</v>
      </c>
      <c r="D113" s="35">
        <v>6943.97</v>
      </c>
      <c r="E113" s="32">
        <v>6224.36</v>
      </c>
      <c r="F113" s="64">
        <v>6812.1399999999994</v>
      </c>
      <c r="G113" s="35">
        <v>6500</v>
      </c>
      <c r="H113" s="32"/>
      <c r="I113" s="63">
        <v>7000</v>
      </c>
      <c r="J113" s="32"/>
      <c r="K113" s="63">
        <f>I113*1.05</f>
        <v>7350</v>
      </c>
      <c r="L113" s="32"/>
      <c r="M113" s="32">
        <f>K113*1.05</f>
        <v>7717.5</v>
      </c>
      <c r="N113" s="32"/>
      <c r="O113" s="32">
        <f>M113*1.1</f>
        <v>8489.25</v>
      </c>
      <c r="P113" s="32" t="s">
        <v>256</v>
      </c>
      <c r="Q113" s="67" t="s">
        <v>198</v>
      </c>
      <c r="R113" s="67"/>
      <c r="S113" s="67"/>
      <c r="T113" s="67"/>
      <c r="U113" s="14"/>
      <c r="V113" s="14"/>
      <c r="W113" s="14"/>
      <c r="X113" s="14"/>
      <c r="Y113" s="14"/>
      <c r="Z113" s="14"/>
      <c r="AA113" s="14"/>
      <c r="AB113" s="14"/>
      <c r="AC113" s="14"/>
      <c r="AD113" s="14"/>
    </row>
    <row r="114" spans="1:36" ht="12.75" customHeight="1" x14ac:dyDescent="0.35">
      <c r="A114" s="53"/>
      <c r="B114" s="1" t="s">
        <v>83</v>
      </c>
      <c r="C114" s="32">
        <v>313.44</v>
      </c>
      <c r="D114" s="35">
        <v>0</v>
      </c>
      <c r="E114" s="32">
        <v>0</v>
      </c>
      <c r="F114" s="32"/>
      <c r="G114" s="35">
        <v>0</v>
      </c>
      <c r="H114" s="32"/>
      <c r="I114" s="32">
        <v>0</v>
      </c>
      <c r="J114" s="32"/>
      <c r="K114" s="35">
        <v>0</v>
      </c>
      <c r="L114" s="32"/>
      <c r="M114" s="32">
        <v>0</v>
      </c>
      <c r="N114" s="32"/>
      <c r="O114" s="32">
        <v>0</v>
      </c>
      <c r="P114" s="32"/>
      <c r="Q114" s="67"/>
      <c r="R114" s="67"/>
      <c r="S114" s="67"/>
      <c r="T114" s="67"/>
      <c r="U114" s="1"/>
      <c r="V114" s="1"/>
      <c r="W114" s="1"/>
      <c r="X114" s="1"/>
      <c r="Y114" s="1"/>
      <c r="Z114" s="1"/>
      <c r="AA114" s="1"/>
      <c r="AB114" s="1"/>
      <c r="AC114" s="1"/>
      <c r="AD114" s="1"/>
    </row>
    <row r="115" spans="1:36" ht="12.75" customHeight="1" x14ac:dyDescent="0.35">
      <c r="A115" s="53"/>
      <c r="B115" s="5" t="s">
        <v>84</v>
      </c>
      <c r="C115" s="7">
        <f>SUM(C105:C114)</f>
        <v>47669.130000000005</v>
      </c>
      <c r="D115" s="41">
        <f>SUM(D105:D114)</f>
        <v>37054.58</v>
      </c>
      <c r="E115" s="7">
        <f>SUM(E105:E114)</f>
        <v>29287.68</v>
      </c>
      <c r="F115" s="61">
        <f>E115+E136</f>
        <v>113629.23000000001</v>
      </c>
      <c r="G115" s="41">
        <f>SUM(G105:G114)</f>
        <v>26342</v>
      </c>
      <c r="H115" s="61">
        <f>G115+G136</f>
        <v>121274</v>
      </c>
      <c r="I115" s="7">
        <f>SUM(I105:I114)</f>
        <v>35391.565799999997</v>
      </c>
      <c r="J115" s="61">
        <f>I115+I136</f>
        <v>130323.5658</v>
      </c>
      <c r="K115" s="41">
        <f>SUM(K105:K114)</f>
        <v>36821.734484000001</v>
      </c>
      <c r="L115" s="61">
        <f>K115+K136</f>
        <v>136500.33448399999</v>
      </c>
      <c r="M115" s="7">
        <f>SUM(M105:M114)</f>
        <v>38329.059794319997</v>
      </c>
      <c r="N115" s="3"/>
      <c r="O115" s="7">
        <f>SUM(O105:O114)</f>
        <v>40606.326298433603</v>
      </c>
      <c r="P115" s="3"/>
      <c r="Q115" s="67"/>
      <c r="R115" s="67"/>
      <c r="S115" s="67"/>
      <c r="T115" s="67"/>
      <c r="U115" s="3"/>
      <c r="V115" s="3"/>
      <c r="W115" s="3"/>
      <c r="X115" s="3"/>
      <c r="Y115" s="3"/>
      <c r="Z115" s="3"/>
      <c r="AA115" s="3"/>
      <c r="AB115" s="3"/>
      <c r="AC115" s="3"/>
      <c r="AD115" s="3"/>
      <c r="AF115" s="14">
        <f>G115/4</f>
        <v>6585.5</v>
      </c>
    </row>
    <row r="116" spans="1:36" ht="12.75" customHeight="1" x14ac:dyDescent="0.35">
      <c r="A116" s="53"/>
      <c r="H116"/>
      <c r="L116"/>
      <c r="Q116" s="67"/>
      <c r="R116" s="67"/>
      <c r="S116" s="67"/>
      <c r="T116" s="67"/>
      <c r="W116">
        <f>204000</f>
        <v>204000</v>
      </c>
    </row>
    <row r="117" spans="1:36" ht="12.75" customHeight="1" x14ac:dyDescent="0.35">
      <c r="A117" s="53">
        <v>9</v>
      </c>
      <c r="B117" s="3" t="s">
        <v>85</v>
      </c>
      <c r="H117"/>
      <c r="L117"/>
      <c r="Q117" s="67"/>
      <c r="R117" s="67"/>
      <c r="S117" s="67"/>
      <c r="T117" s="67"/>
      <c r="W117">
        <f>W116*0.915</f>
        <v>186660</v>
      </c>
    </row>
    <row r="118" spans="1:36" ht="12.75" customHeight="1" x14ac:dyDescent="0.35">
      <c r="A118" s="53"/>
      <c r="B118" s="1" t="s">
        <v>86</v>
      </c>
      <c r="C118" s="32">
        <v>1366.47</v>
      </c>
      <c r="D118" s="35">
        <v>0</v>
      </c>
      <c r="E118" s="32">
        <v>0</v>
      </c>
      <c r="F118" s="64">
        <v>321.3</v>
      </c>
      <c r="G118" s="35">
        <v>0</v>
      </c>
      <c r="I118" s="32">
        <v>500</v>
      </c>
      <c r="J118" s="32"/>
      <c r="K118" s="35">
        <f>I118</f>
        <v>500</v>
      </c>
      <c r="L118" s="32"/>
      <c r="M118" s="32">
        <f>K118</f>
        <v>500</v>
      </c>
      <c r="N118" s="32"/>
      <c r="O118" s="32">
        <v>500</v>
      </c>
      <c r="P118" s="32"/>
      <c r="Q118" s="67"/>
      <c r="R118" s="67"/>
      <c r="S118" s="67"/>
      <c r="T118" s="67"/>
      <c r="U118" s="1"/>
      <c r="V118" s="1"/>
      <c r="W118" s="1">
        <f>W116-W117</f>
        <v>17340</v>
      </c>
      <c r="X118" s="1"/>
      <c r="Y118" s="1"/>
      <c r="Z118" s="1"/>
      <c r="AA118" s="1"/>
      <c r="AB118" s="1"/>
      <c r="AC118" s="1"/>
      <c r="AD118" s="1"/>
    </row>
    <row r="119" spans="1:36" ht="12.75" customHeight="1" x14ac:dyDescent="0.35">
      <c r="A119" s="53"/>
      <c r="B119" s="1" t="s">
        <v>87</v>
      </c>
      <c r="C119" s="32">
        <v>11231.65</v>
      </c>
      <c r="D119" s="35">
        <v>-12158.54</v>
      </c>
      <c r="E119" s="32">
        <v>4891.72</v>
      </c>
      <c r="F119" s="64">
        <v>14291.599999999999</v>
      </c>
      <c r="G119" s="35">
        <v>10468</v>
      </c>
      <c r="I119" s="63">
        <v>15000</v>
      </c>
      <c r="J119" s="32"/>
      <c r="K119" s="63">
        <f>I119*1.03</f>
        <v>15450</v>
      </c>
      <c r="L119" s="32"/>
      <c r="M119" s="32">
        <f>K119*1.02</f>
        <v>15759</v>
      </c>
      <c r="N119" s="32"/>
      <c r="O119" s="32">
        <f>M119*1.02</f>
        <v>16074.18</v>
      </c>
      <c r="P119" s="132" t="s">
        <v>254</v>
      </c>
      <c r="Q119" s="67" t="s">
        <v>199</v>
      </c>
      <c r="R119" s="67"/>
      <c r="S119" s="67"/>
      <c r="T119" s="67"/>
      <c r="U119" s="1"/>
      <c r="V119" s="1"/>
      <c r="W119" s="1"/>
      <c r="X119" s="1"/>
      <c r="Y119" s="1"/>
      <c r="Z119" s="1"/>
      <c r="AA119" s="1"/>
      <c r="AB119" s="1"/>
      <c r="AC119" s="1"/>
      <c r="AD119" s="1"/>
      <c r="AI119">
        <v>204</v>
      </c>
    </row>
    <row r="120" spans="1:36" ht="12.75" customHeight="1" x14ac:dyDescent="0.35">
      <c r="A120" s="53"/>
      <c r="B120" s="1" t="s">
        <v>88</v>
      </c>
      <c r="C120" s="32">
        <v>840.91</v>
      </c>
      <c r="D120" s="35">
        <v>893.18</v>
      </c>
      <c r="E120" s="32">
        <v>1088.6400000000001</v>
      </c>
      <c r="F120" s="64"/>
      <c r="G120" s="35">
        <v>1000</v>
      </c>
      <c r="I120" s="32"/>
      <c r="J120" s="32"/>
      <c r="K120" s="63"/>
      <c r="L120" s="32"/>
      <c r="M120" s="32"/>
      <c r="N120" s="32"/>
      <c r="O120" s="32"/>
      <c r="P120" s="32"/>
      <c r="Q120" s="67"/>
      <c r="R120" s="67"/>
      <c r="S120" s="67"/>
      <c r="T120" s="67"/>
      <c r="U120" s="1"/>
      <c r="V120" s="1"/>
      <c r="W120" s="1"/>
      <c r="X120" s="1"/>
      <c r="Y120" s="1"/>
      <c r="Z120" s="1"/>
      <c r="AA120" s="1"/>
      <c r="AB120" s="1"/>
      <c r="AC120" s="1"/>
      <c r="AD120" s="1"/>
      <c r="AI120">
        <v>186</v>
      </c>
      <c r="AJ120">
        <f>AI120/12</f>
        <v>15.5</v>
      </c>
    </row>
    <row r="121" spans="1:36" ht="12.75" customHeight="1" x14ac:dyDescent="0.35">
      <c r="A121" s="53"/>
      <c r="B121" s="1" t="s">
        <v>89</v>
      </c>
      <c r="C121" s="32">
        <v>6991.41</v>
      </c>
      <c r="D121" s="35">
        <v>11398.72</v>
      </c>
      <c r="E121" s="32">
        <v>2081.1</v>
      </c>
      <c r="F121" s="64">
        <v>3096.57</v>
      </c>
      <c r="G121" s="35">
        <f>2200</f>
        <v>2200</v>
      </c>
      <c r="I121" s="63">
        <v>3500</v>
      </c>
      <c r="J121" s="32"/>
      <c r="K121" s="63">
        <f>I121*1.03</f>
        <v>3605</v>
      </c>
      <c r="L121" s="32"/>
      <c r="M121" s="32">
        <f>K121*1.02</f>
        <v>3677.1</v>
      </c>
      <c r="N121" s="32"/>
      <c r="O121" s="32">
        <f>M121*1.02</f>
        <v>3750.6419999999998</v>
      </c>
      <c r="P121" s="32"/>
      <c r="Q121" s="67"/>
      <c r="R121" s="67"/>
      <c r="S121" s="67"/>
      <c r="T121" s="67"/>
      <c r="AI121">
        <f>AI120*1.095</f>
        <v>203.67</v>
      </c>
    </row>
    <row r="122" spans="1:36" ht="12.75" customHeight="1" x14ac:dyDescent="0.35">
      <c r="A122" s="53"/>
      <c r="B122" s="1" t="s">
        <v>90</v>
      </c>
      <c r="C122" s="32">
        <v>20113.990000000002</v>
      </c>
      <c r="D122" s="35">
        <v>19921.03</v>
      </c>
      <c r="E122" s="32">
        <v>20483.939999999999</v>
      </c>
      <c r="F122" s="64">
        <v>10705.84</v>
      </c>
      <c r="G122" s="35">
        <f>1750*12</f>
        <v>21000</v>
      </c>
      <c r="I122" s="32">
        <f>G122*1.05</f>
        <v>22050</v>
      </c>
      <c r="J122" s="32"/>
      <c r="K122" s="63">
        <f>I122*1.05</f>
        <v>23152.5</v>
      </c>
      <c r="L122" s="32"/>
      <c r="M122" s="32">
        <f>K122*1.05</f>
        <v>24310.125</v>
      </c>
      <c r="N122" s="32"/>
      <c r="O122" s="32">
        <f>M122*1.05</f>
        <v>25525.631250000002</v>
      </c>
      <c r="P122" s="32"/>
      <c r="Q122" s="67"/>
      <c r="R122" s="67"/>
      <c r="S122" s="67"/>
      <c r="T122" s="67"/>
    </row>
    <row r="123" spans="1:36" ht="12.75" customHeight="1" x14ac:dyDescent="0.35">
      <c r="A123" s="53"/>
      <c r="B123" s="1" t="s">
        <v>91</v>
      </c>
      <c r="C123" s="32">
        <v>119.09</v>
      </c>
      <c r="D123" s="35">
        <v>0</v>
      </c>
      <c r="E123" s="32">
        <v>0</v>
      </c>
      <c r="F123" s="64">
        <v>660.13</v>
      </c>
      <c r="G123" s="35">
        <v>0</v>
      </c>
      <c r="I123" s="32">
        <f>G123</f>
        <v>0</v>
      </c>
      <c r="J123" s="32"/>
      <c r="K123" s="35">
        <f t="shared" ref="K123:O124" si="16">I123</f>
        <v>0</v>
      </c>
      <c r="L123" s="32"/>
      <c r="M123" s="32">
        <f t="shared" si="16"/>
        <v>0</v>
      </c>
      <c r="N123" s="32"/>
      <c r="O123" s="32">
        <f t="shared" si="16"/>
        <v>0</v>
      </c>
      <c r="P123" s="32"/>
      <c r="Q123" s="67"/>
      <c r="R123" s="67"/>
      <c r="S123" s="67"/>
      <c r="T123" s="67"/>
      <c r="U123" s="15"/>
      <c r="V123" s="15"/>
      <c r="W123" s="15"/>
      <c r="X123" s="15"/>
      <c r="Y123" s="15"/>
      <c r="Z123" s="15"/>
      <c r="AA123" s="15"/>
      <c r="AB123" s="15"/>
      <c r="AC123" s="15"/>
      <c r="AD123" s="15"/>
    </row>
    <row r="124" spans="1:36" ht="12.75" customHeight="1" x14ac:dyDescent="0.35">
      <c r="A124" s="53"/>
      <c r="B124" s="1" t="s">
        <v>92</v>
      </c>
      <c r="C124" s="32">
        <v>359.82</v>
      </c>
      <c r="D124" s="35">
        <v>7.64</v>
      </c>
      <c r="E124" s="32">
        <v>0</v>
      </c>
      <c r="F124" s="64"/>
      <c r="G124" s="35">
        <v>0</v>
      </c>
      <c r="I124" s="32">
        <f>G124</f>
        <v>0</v>
      </c>
      <c r="J124" s="32"/>
      <c r="K124" s="35">
        <f t="shared" si="16"/>
        <v>0</v>
      </c>
      <c r="L124" s="32"/>
      <c r="M124" s="32">
        <f t="shared" si="16"/>
        <v>0</v>
      </c>
      <c r="N124" s="32"/>
      <c r="O124" s="32">
        <f t="shared" si="16"/>
        <v>0</v>
      </c>
      <c r="P124" s="32"/>
      <c r="Q124" s="67"/>
      <c r="R124" s="67"/>
      <c r="S124" s="67"/>
      <c r="T124" s="67"/>
      <c r="U124" s="15"/>
      <c r="V124" s="15"/>
      <c r="W124" s="15"/>
      <c r="X124" s="15"/>
      <c r="Y124" s="15"/>
      <c r="Z124" s="15"/>
      <c r="AA124" s="15"/>
      <c r="AB124" s="15"/>
      <c r="AC124" s="15"/>
      <c r="AD124" s="15"/>
    </row>
    <row r="125" spans="1:36" ht="12.75" customHeight="1" x14ac:dyDescent="0.35">
      <c r="A125" s="53"/>
      <c r="B125" s="1" t="s">
        <v>93</v>
      </c>
      <c r="C125" s="32">
        <v>2078.09</v>
      </c>
      <c r="D125" s="35">
        <v>2256.59</v>
      </c>
      <c r="E125" s="32">
        <v>779.92</v>
      </c>
      <c r="F125" s="64"/>
      <c r="G125" s="35">
        <v>800</v>
      </c>
      <c r="I125" s="63">
        <v>2000</v>
      </c>
      <c r="J125" s="32"/>
      <c r="K125" s="63">
        <f>1100+1050</f>
        <v>2150</v>
      </c>
      <c r="L125" s="32"/>
      <c r="M125" s="32">
        <f>1100+1103</f>
        <v>2203</v>
      </c>
      <c r="N125" s="32"/>
      <c r="O125" s="32">
        <f>1100+1103</f>
        <v>2203</v>
      </c>
      <c r="P125" s="32"/>
      <c r="Q125" s="67"/>
      <c r="R125" s="67"/>
      <c r="S125" s="67"/>
      <c r="T125" s="67"/>
      <c r="U125" s="1"/>
      <c r="V125" s="1"/>
      <c r="W125" s="1"/>
      <c r="X125" s="1"/>
      <c r="Y125" s="1"/>
      <c r="Z125" s="1"/>
      <c r="AA125" s="1"/>
      <c r="AB125" s="1"/>
      <c r="AC125" s="1"/>
      <c r="AD125" s="1"/>
    </row>
    <row r="126" spans="1:36" ht="12.75" customHeight="1" x14ac:dyDescent="0.35">
      <c r="A126" s="53"/>
      <c r="B126" s="1" t="s">
        <v>94</v>
      </c>
      <c r="C126" s="32">
        <v>22528.48</v>
      </c>
      <c r="D126" s="35">
        <v>21066.71</v>
      </c>
      <c r="E126" s="32">
        <v>18566.25</v>
      </c>
      <c r="F126" s="64">
        <v>18207.400000000001</v>
      </c>
      <c r="G126" s="35">
        <v>18600</v>
      </c>
      <c r="I126" s="32">
        <f>G126*1.02</f>
        <v>18972</v>
      </c>
      <c r="J126" s="32"/>
      <c r="K126" s="35">
        <f>I126*1.02</f>
        <v>19351.439999999999</v>
      </c>
      <c r="L126" s="32"/>
      <c r="M126" s="32">
        <f>K126*1.02</f>
        <v>19738.468799999999</v>
      </c>
      <c r="N126" s="32"/>
      <c r="O126" s="32">
        <f>M126*1.02</f>
        <v>20133.238175999999</v>
      </c>
      <c r="P126" s="32"/>
      <c r="Q126" s="67"/>
      <c r="R126" s="67"/>
      <c r="S126" s="67"/>
      <c r="T126" s="67"/>
      <c r="U126" s="15"/>
      <c r="V126" s="15"/>
      <c r="W126" s="15"/>
      <c r="X126" s="15"/>
      <c r="Y126" s="15"/>
      <c r="Z126" s="15"/>
      <c r="AA126" s="15"/>
      <c r="AB126" s="15"/>
      <c r="AC126" s="15"/>
      <c r="AD126" s="15"/>
      <c r="AI126">
        <f>AI120*0.095</f>
        <v>17.670000000000002</v>
      </c>
    </row>
    <row r="127" spans="1:36" ht="12.75" customHeight="1" x14ac:dyDescent="0.35">
      <c r="A127" s="53"/>
      <c r="B127" s="1" t="s">
        <v>95</v>
      </c>
      <c r="C127" s="32">
        <v>1745.73</v>
      </c>
      <c r="D127" s="35">
        <v>2005.38</v>
      </c>
      <c r="E127" s="32">
        <v>1414.5</v>
      </c>
      <c r="F127" s="64">
        <v>1692.7600000000002</v>
      </c>
      <c r="G127" s="35">
        <v>1500</v>
      </c>
      <c r="I127" s="32">
        <f>G127*1.02</f>
        <v>1530</v>
      </c>
      <c r="J127" s="32"/>
      <c r="K127" s="35">
        <f>I127*1.02</f>
        <v>1560.6000000000001</v>
      </c>
      <c r="L127" s="32"/>
      <c r="M127" s="32">
        <f>K127*1.02</f>
        <v>1591.8120000000001</v>
      </c>
      <c r="N127" s="32"/>
      <c r="O127" s="32">
        <f>M127*1.05</f>
        <v>1671.4026000000001</v>
      </c>
      <c r="P127" s="32"/>
      <c r="Q127" s="67"/>
      <c r="R127" s="67"/>
      <c r="S127" s="67"/>
      <c r="T127" s="67"/>
      <c r="U127" s="14"/>
      <c r="V127" s="14"/>
      <c r="W127" s="14"/>
      <c r="X127" s="14"/>
      <c r="Y127" s="14"/>
      <c r="Z127" s="14"/>
      <c r="AA127" s="14"/>
      <c r="AB127" s="14"/>
      <c r="AC127" s="14"/>
      <c r="AD127" s="14"/>
    </row>
    <row r="128" spans="1:36" ht="12.75" customHeight="1" x14ac:dyDescent="0.35">
      <c r="A128" s="53"/>
      <c r="B128" s="1" t="s">
        <v>96</v>
      </c>
      <c r="C128" s="32">
        <v>237726.96</v>
      </c>
      <c r="D128" s="35">
        <v>245999.26</v>
      </c>
      <c r="E128" s="32">
        <v>245497.76</v>
      </c>
      <c r="F128" s="64">
        <v>213308.82</v>
      </c>
      <c r="G128" s="35">
        <v>245000</v>
      </c>
      <c r="I128" s="63">
        <v>230000</v>
      </c>
      <c r="J128" s="32"/>
      <c r="K128" s="63">
        <f>I128*1.03</f>
        <v>236900</v>
      </c>
      <c r="L128" s="32"/>
      <c r="M128" s="32">
        <f>K128*1.03</f>
        <v>244007</v>
      </c>
      <c r="N128" s="32"/>
      <c r="O128" s="32">
        <f>M128*1.03</f>
        <v>251327.21000000002</v>
      </c>
      <c r="P128" s="32" t="s">
        <v>248</v>
      </c>
      <c r="Q128" s="67" t="s">
        <v>200</v>
      </c>
      <c r="R128" s="67"/>
      <c r="S128" s="67"/>
      <c r="T128" s="67"/>
      <c r="U128" s="15"/>
      <c r="V128" s="15"/>
      <c r="W128" s="15"/>
      <c r="X128" s="15"/>
      <c r="Y128" s="15"/>
      <c r="Z128" s="15"/>
      <c r="AA128" s="15"/>
      <c r="AB128" s="15"/>
      <c r="AC128" s="15"/>
      <c r="AD128" s="15"/>
      <c r="AF128" s="14"/>
    </row>
    <row r="129" spans="1:32" ht="12.75" customHeight="1" x14ac:dyDescent="0.35">
      <c r="A129" s="53"/>
      <c r="B129" s="5" t="s">
        <v>97</v>
      </c>
      <c r="C129" s="7">
        <f>SUM(C118:C128)</f>
        <v>305102.59999999998</v>
      </c>
      <c r="D129" s="41">
        <f>SUM(D118:D128)</f>
        <v>291389.97000000003</v>
      </c>
      <c r="E129" s="33">
        <f>SUM(E118:E128)</f>
        <v>294803.83</v>
      </c>
      <c r="F129" s="62">
        <f>E129</f>
        <v>294803.83</v>
      </c>
      <c r="G129" s="41">
        <f>SUM(G118:G128)</f>
        <v>300568</v>
      </c>
      <c r="H129" s="62">
        <f>G129</f>
        <v>300568</v>
      </c>
      <c r="I129" s="33">
        <f>SUM(I118:I128)</f>
        <v>293552</v>
      </c>
      <c r="J129" s="62">
        <f>I129</f>
        <v>293552</v>
      </c>
      <c r="K129" s="41">
        <f>SUM(K118:K128)</f>
        <v>302669.54000000004</v>
      </c>
      <c r="L129" s="62">
        <f>K129</f>
        <v>302669.54000000004</v>
      </c>
      <c r="M129" s="7">
        <f>SUM(M118:M128)</f>
        <v>311786.50579999998</v>
      </c>
      <c r="N129" s="3"/>
      <c r="O129" s="7">
        <f>SUM(O118:O128)</f>
        <v>321185.30402600003</v>
      </c>
      <c r="P129" s="3"/>
      <c r="Q129" s="67"/>
      <c r="R129" s="67"/>
      <c r="S129" s="67"/>
      <c r="T129" s="67"/>
      <c r="U129" s="3"/>
      <c r="V129" s="24"/>
      <c r="W129" s="3"/>
      <c r="X129" s="3"/>
      <c r="Y129" s="3"/>
      <c r="Z129" s="3"/>
      <c r="AA129" s="3"/>
      <c r="AB129" s="3"/>
      <c r="AC129" s="3"/>
      <c r="AD129" s="3"/>
      <c r="AF129" s="14">
        <f>G129/4</f>
        <v>75142</v>
      </c>
    </row>
    <row r="130" spans="1:32" ht="12.75" customHeight="1" x14ac:dyDescent="0.35">
      <c r="A130" s="53"/>
      <c r="H130"/>
      <c r="L130"/>
      <c r="Q130" s="67"/>
      <c r="R130" s="67"/>
      <c r="S130" s="67"/>
      <c r="T130" s="67"/>
      <c r="V130" s="30"/>
      <c r="W130" s="30"/>
      <c r="X130" s="30"/>
      <c r="Y130" s="30"/>
      <c r="Z130" s="30"/>
    </row>
    <row r="131" spans="1:32" ht="12.75" customHeight="1" x14ac:dyDescent="0.35">
      <c r="A131" s="53">
        <v>10</v>
      </c>
      <c r="B131" s="3" t="s">
        <v>98</v>
      </c>
      <c r="H131"/>
      <c r="L131"/>
      <c r="Q131" s="67" t="s">
        <v>201</v>
      </c>
      <c r="R131" s="67"/>
      <c r="S131" s="67"/>
      <c r="T131" s="67"/>
      <c r="V131" s="30"/>
      <c r="W131" s="30"/>
      <c r="X131" s="30"/>
      <c r="Y131" s="30"/>
      <c r="Z131" s="30"/>
    </row>
    <row r="132" spans="1:32" ht="12.75" customHeight="1" x14ac:dyDescent="0.35">
      <c r="A132" s="53"/>
      <c r="B132" s="1" t="s">
        <v>99</v>
      </c>
      <c r="C132" s="32">
        <v>0</v>
      </c>
      <c r="D132" s="35">
        <v>84103.2</v>
      </c>
      <c r="E132" s="32">
        <v>58109.07</v>
      </c>
      <c r="F132" s="64">
        <v>58048.81</v>
      </c>
      <c r="G132" s="35">
        <f t="shared" ref="G132:K135" si="17">G45-(G45*0.1)</f>
        <v>65142</v>
      </c>
      <c r="H132" s="32"/>
      <c r="I132" s="32">
        <f t="shared" si="17"/>
        <v>65142</v>
      </c>
      <c r="J132" s="32"/>
      <c r="K132" s="35">
        <f t="shared" si="17"/>
        <v>68399.100000000006</v>
      </c>
      <c r="L132" s="32"/>
      <c r="M132" s="32">
        <f>M45-(M45*0.1)</f>
        <v>68399.100000000006</v>
      </c>
      <c r="N132" s="32"/>
      <c r="O132" s="32">
        <f>O45-(O45*0.1)</f>
        <v>71819.054999999993</v>
      </c>
      <c r="P132" s="32"/>
      <c r="R132" s="67"/>
      <c r="S132" s="67"/>
      <c r="T132" s="67"/>
      <c r="V132" t="s">
        <v>166</v>
      </c>
    </row>
    <row r="133" spans="1:32" ht="12.75" customHeight="1" x14ac:dyDescent="0.35">
      <c r="A133" s="53"/>
      <c r="B133" s="1" t="s">
        <v>100</v>
      </c>
      <c r="C133" s="32">
        <v>0</v>
      </c>
      <c r="D133" s="35">
        <v>6196.35</v>
      </c>
      <c r="E133" s="32">
        <v>4227.18</v>
      </c>
      <c r="F133" s="64">
        <v>4519.07</v>
      </c>
      <c r="G133" s="35">
        <f t="shared" si="17"/>
        <v>5118.3</v>
      </c>
      <c r="H133" s="32"/>
      <c r="I133" s="32">
        <f t="shared" si="17"/>
        <v>5118.3</v>
      </c>
      <c r="J133" s="32"/>
      <c r="K133" s="35">
        <f t="shared" si="17"/>
        <v>5374.2150000000001</v>
      </c>
      <c r="L133" s="32"/>
      <c r="M133" s="32">
        <f>M46-(M46*0.1)</f>
        <v>5374.2150000000001</v>
      </c>
      <c r="N133" s="32"/>
      <c r="O133" s="32">
        <f t="shared" ref="O133:O135" si="18">O46-(O46*0.1)</f>
        <v>5642.9257500000003</v>
      </c>
      <c r="P133" s="32"/>
      <c r="Q133" s="67"/>
      <c r="R133" s="67"/>
      <c r="S133" s="67"/>
      <c r="T133" s="67"/>
    </row>
    <row r="134" spans="1:32" ht="12.75" customHeight="1" x14ac:dyDescent="0.35">
      <c r="A134" s="53"/>
      <c r="B134" s="1" t="s">
        <v>164</v>
      </c>
      <c r="C134" s="32">
        <v>0</v>
      </c>
      <c r="D134" s="35">
        <v>1219.56</v>
      </c>
      <c r="E134" s="32">
        <v>971.61</v>
      </c>
      <c r="F134" s="64">
        <v>20825.230000000003</v>
      </c>
      <c r="G134" s="35">
        <f t="shared" si="17"/>
        <v>23178.6</v>
      </c>
      <c r="H134" s="32"/>
      <c r="I134" s="32">
        <f t="shared" si="17"/>
        <v>23178.6</v>
      </c>
      <c r="J134" s="32"/>
      <c r="K134" s="35">
        <f t="shared" si="17"/>
        <v>24337.53</v>
      </c>
      <c r="L134" s="32"/>
      <c r="M134" s="32">
        <f>M47-(M47*0.1)</f>
        <v>24337.53</v>
      </c>
      <c r="N134" s="32"/>
      <c r="O134" s="32">
        <f t="shared" si="18"/>
        <v>25554.406500000005</v>
      </c>
      <c r="P134" s="32"/>
      <c r="Q134" s="67"/>
      <c r="R134" s="67"/>
      <c r="S134" s="67"/>
      <c r="T134" s="67"/>
    </row>
    <row r="135" spans="1:32" ht="12.75" customHeight="1" x14ac:dyDescent="0.35">
      <c r="A135" s="53"/>
      <c r="B135" s="1" t="s">
        <v>165</v>
      </c>
      <c r="C135" s="32">
        <v>0</v>
      </c>
      <c r="D135" s="35">
        <v>25954.98</v>
      </c>
      <c r="E135" s="32">
        <v>21033.69</v>
      </c>
      <c r="F135" s="64">
        <v>839</v>
      </c>
      <c r="G135" s="35">
        <f t="shared" si="17"/>
        <v>1493.1</v>
      </c>
      <c r="H135" s="32"/>
      <c r="I135" s="32">
        <f t="shared" si="17"/>
        <v>1493.1</v>
      </c>
      <c r="J135" s="32"/>
      <c r="K135" s="35">
        <f t="shared" si="17"/>
        <v>1567.7550000000001</v>
      </c>
      <c r="L135" s="32"/>
      <c r="M135" s="32">
        <f>M48-(M48*0.1)</f>
        <v>1567.7550000000001</v>
      </c>
      <c r="N135" s="32"/>
      <c r="O135" s="32">
        <f t="shared" si="18"/>
        <v>1646.14275</v>
      </c>
      <c r="P135" s="32"/>
      <c r="Q135" s="67"/>
      <c r="R135" s="67"/>
      <c r="S135" s="67"/>
      <c r="T135" s="67"/>
    </row>
    <row r="136" spans="1:32" ht="12.75" customHeight="1" x14ac:dyDescent="0.35">
      <c r="A136" s="53"/>
      <c r="B136" s="5" t="s">
        <v>101</v>
      </c>
      <c r="C136" s="7">
        <f>SUM(C132:C135)</f>
        <v>0</v>
      </c>
      <c r="D136" s="41">
        <f>SUM(D132:D135)</f>
        <v>117474.09</v>
      </c>
      <c r="E136" s="33">
        <f>SUM(E132:E135)</f>
        <v>84341.55</v>
      </c>
      <c r="F136" s="2"/>
      <c r="G136" s="41">
        <f>SUM(G132:G135)</f>
        <v>94932</v>
      </c>
      <c r="H136" s="2"/>
      <c r="I136" s="33">
        <f>SUM(I132:I135)</f>
        <v>94932</v>
      </c>
      <c r="J136" s="2"/>
      <c r="K136" s="41">
        <f>SUM(K132:K135)</f>
        <v>99678.6</v>
      </c>
      <c r="L136" s="2"/>
      <c r="M136" s="7">
        <f>SUM(M132:M135)</f>
        <v>99678.6</v>
      </c>
      <c r="N136" s="3"/>
      <c r="O136" s="7">
        <f>SUM(O132:O135)</f>
        <v>104662.53</v>
      </c>
      <c r="P136" s="3"/>
      <c r="Q136" s="67"/>
      <c r="R136" s="67"/>
      <c r="S136" s="67"/>
      <c r="T136" s="67"/>
      <c r="U136" s="3"/>
      <c r="V136" s="24"/>
      <c r="W136" s="3"/>
      <c r="X136" s="3"/>
      <c r="Y136" s="3"/>
      <c r="Z136" s="3"/>
      <c r="AA136" s="3"/>
      <c r="AB136" s="3"/>
      <c r="AC136" s="3"/>
      <c r="AD136" s="3"/>
      <c r="AF136" s="14">
        <f>G136/4</f>
        <v>23733</v>
      </c>
    </row>
    <row r="137" spans="1:32" ht="12.75" customHeight="1" x14ac:dyDescent="0.35">
      <c r="A137" s="53"/>
      <c r="G137" s="45"/>
      <c r="H137"/>
      <c r="K137" s="45"/>
      <c r="L137"/>
      <c r="M137" s="72"/>
      <c r="N137" s="72"/>
      <c r="O137" s="72"/>
      <c r="P137" s="72"/>
      <c r="Q137" s="67"/>
      <c r="R137" s="67"/>
      <c r="S137" s="67"/>
      <c r="T137" s="67"/>
      <c r="V137" s="30"/>
    </row>
    <row r="138" spans="1:32" ht="12.75" customHeight="1" x14ac:dyDescent="0.35">
      <c r="A138" s="53">
        <v>11</v>
      </c>
      <c r="B138" s="3" t="s">
        <v>102</v>
      </c>
      <c r="H138"/>
      <c r="L138"/>
      <c r="Q138" s="67"/>
      <c r="R138" s="67"/>
      <c r="S138" s="67"/>
      <c r="T138" s="67"/>
      <c r="V138" s="30"/>
    </row>
    <row r="139" spans="1:32" ht="12.75" customHeight="1" x14ac:dyDescent="0.35">
      <c r="A139" s="53">
        <v>11.1</v>
      </c>
      <c r="B139" s="1" t="s">
        <v>103</v>
      </c>
      <c r="C139" s="32">
        <v>7955.09</v>
      </c>
      <c r="D139" s="35">
        <v>12973.08</v>
      </c>
      <c r="E139" s="32">
        <v>2650.9</v>
      </c>
      <c r="F139" s="64">
        <v>3488.64</v>
      </c>
      <c r="G139" s="35">
        <v>10000</v>
      </c>
      <c r="H139" s="32">
        <f>G139+G141+G142</f>
        <v>34500</v>
      </c>
      <c r="I139" s="63">
        <v>10000</v>
      </c>
      <c r="J139" s="32">
        <f>I139+I141+I142</f>
        <v>19690</v>
      </c>
      <c r="K139" s="35">
        <v>11000</v>
      </c>
      <c r="L139" s="32">
        <f>K139+K141+K142</f>
        <v>37883.800000000003</v>
      </c>
      <c r="M139" s="32">
        <v>12000</v>
      </c>
      <c r="N139" s="32"/>
      <c r="O139" s="32">
        <v>12000</v>
      </c>
      <c r="P139" s="32"/>
      <c r="Q139" s="67"/>
      <c r="R139" s="67"/>
      <c r="S139" s="67"/>
      <c r="T139" s="67"/>
      <c r="U139" s="18"/>
      <c r="V139" s="18"/>
      <c r="W139" s="18"/>
      <c r="X139" s="18"/>
      <c r="Y139" s="18"/>
      <c r="Z139" s="18"/>
      <c r="AA139" s="18"/>
      <c r="AB139" s="18"/>
      <c r="AC139" s="18"/>
      <c r="AD139" s="18"/>
    </row>
    <row r="140" spans="1:32" ht="12.75" customHeight="1" x14ac:dyDescent="0.35">
      <c r="A140" s="53">
        <v>11.2</v>
      </c>
      <c r="B140" s="1" t="s">
        <v>104</v>
      </c>
      <c r="C140" s="32">
        <v>23420.74</v>
      </c>
      <c r="D140" s="35">
        <v>13721.14</v>
      </c>
      <c r="E140" s="32">
        <v>6192.59</v>
      </c>
      <c r="F140" s="64">
        <v>457.07</v>
      </c>
      <c r="G140" s="35">
        <v>7000</v>
      </c>
      <c r="H140" s="32"/>
      <c r="I140" s="63">
        <v>3500</v>
      </c>
      <c r="J140" s="32"/>
      <c r="K140" s="63">
        <v>3500</v>
      </c>
      <c r="L140" s="32"/>
      <c r="M140" s="32">
        <v>3500</v>
      </c>
      <c r="N140" s="32"/>
      <c r="O140" s="32">
        <v>3500</v>
      </c>
      <c r="P140" s="32"/>
      <c r="Q140" s="67" t="s">
        <v>202</v>
      </c>
      <c r="R140" s="67"/>
      <c r="S140" s="67"/>
      <c r="T140" s="67"/>
      <c r="U140" s="18"/>
      <c r="V140" s="18"/>
      <c r="W140" s="18"/>
      <c r="X140" s="18"/>
      <c r="Y140" s="18"/>
      <c r="Z140" s="18"/>
      <c r="AA140" s="18"/>
      <c r="AB140" s="18"/>
      <c r="AC140" s="18"/>
      <c r="AD140" s="18"/>
    </row>
    <row r="141" spans="1:32" ht="12.75" customHeight="1" x14ac:dyDescent="0.35">
      <c r="A141" s="53">
        <v>11.3</v>
      </c>
      <c r="B141" s="1" t="s">
        <v>105</v>
      </c>
      <c r="C141" s="32">
        <v>0</v>
      </c>
      <c r="D141" s="35">
        <f>454.55+8000</f>
        <v>8454.5499999999993</v>
      </c>
      <c r="E141" s="32">
        <v>0</v>
      </c>
      <c r="F141" s="64">
        <v>11612.96</v>
      </c>
      <c r="G141" s="35">
        <v>15000</v>
      </c>
      <c r="H141" s="32"/>
      <c r="I141" s="63"/>
      <c r="J141" s="32"/>
      <c r="K141" s="35">
        <v>17000</v>
      </c>
      <c r="L141" s="32"/>
      <c r="M141" s="32"/>
      <c r="N141" s="32"/>
      <c r="O141" s="32">
        <v>17000</v>
      </c>
      <c r="P141" s="32"/>
      <c r="Q141" s="67"/>
      <c r="R141" s="67"/>
      <c r="S141" s="67"/>
      <c r="T141" s="67"/>
      <c r="U141" s="18"/>
      <c r="V141" s="18"/>
      <c r="W141" s="18"/>
      <c r="X141" s="18"/>
      <c r="Y141" s="18"/>
      <c r="Z141" s="18"/>
      <c r="AA141" s="18"/>
      <c r="AB141" s="18"/>
      <c r="AC141" s="18"/>
      <c r="AD141" s="18"/>
    </row>
    <row r="142" spans="1:32" ht="12.75" customHeight="1" x14ac:dyDescent="0.35">
      <c r="A142" s="53">
        <v>11.4</v>
      </c>
      <c r="B142" s="1" t="s">
        <v>106</v>
      </c>
      <c r="C142" s="32">
        <v>9999.9599999999991</v>
      </c>
      <c r="D142" s="35">
        <v>12200.01</v>
      </c>
      <c r="E142" s="32">
        <v>9240.01</v>
      </c>
      <c r="F142" s="64">
        <v>9090.92</v>
      </c>
      <c r="G142" s="35">
        <v>9500</v>
      </c>
      <c r="H142" s="32"/>
      <c r="I142" s="32">
        <f>G142*1.02</f>
        <v>9690</v>
      </c>
      <c r="J142" s="32"/>
      <c r="K142" s="32">
        <f>I142*1.02</f>
        <v>9883.7999999999993</v>
      </c>
      <c r="L142" s="32"/>
      <c r="M142" s="32">
        <f>K142*1.02</f>
        <v>10081.475999999999</v>
      </c>
      <c r="N142" s="32"/>
      <c r="O142" s="32">
        <v>10000</v>
      </c>
      <c r="P142" s="32"/>
      <c r="Q142" s="67" t="s">
        <v>203</v>
      </c>
      <c r="R142" s="67"/>
      <c r="S142" s="67"/>
      <c r="T142" s="67"/>
      <c r="U142" s="18"/>
      <c r="V142" s="18"/>
      <c r="W142" s="18"/>
      <c r="X142" s="18"/>
      <c r="Y142" s="18"/>
      <c r="Z142" s="18"/>
      <c r="AA142" s="18"/>
      <c r="AB142" s="18"/>
      <c r="AC142" s="18"/>
      <c r="AD142" s="18"/>
    </row>
    <row r="143" spans="1:32" ht="12.75" customHeight="1" x14ac:dyDescent="0.35">
      <c r="A143" s="53">
        <v>11.5</v>
      </c>
      <c r="B143" s="1" t="s">
        <v>107</v>
      </c>
      <c r="C143" s="32">
        <v>6182.74</v>
      </c>
      <c r="D143" s="35">
        <v>15544.09</v>
      </c>
      <c r="E143" s="32">
        <v>5227.6499999999996</v>
      </c>
      <c r="F143" s="64">
        <v>4031.8899999999994</v>
      </c>
      <c r="G143" s="35">
        <v>5500</v>
      </c>
      <c r="H143" s="32"/>
      <c r="I143" s="32">
        <v>6500</v>
      </c>
      <c r="J143" s="32"/>
      <c r="K143" s="35">
        <v>10000</v>
      </c>
      <c r="L143" s="32"/>
      <c r="M143" s="35">
        <v>5500</v>
      </c>
      <c r="N143" s="35"/>
      <c r="O143" s="35">
        <v>7000</v>
      </c>
      <c r="P143" s="35"/>
      <c r="Q143" s="67" t="s">
        <v>215</v>
      </c>
      <c r="R143" s="67"/>
      <c r="S143" s="67"/>
      <c r="T143" s="67"/>
      <c r="U143" s="18"/>
      <c r="V143" s="18"/>
      <c r="W143" s="18"/>
      <c r="X143" s="18"/>
      <c r="Y143" s="18"/>
      <c r="Z143" s="18"/>
      <c r="AA143" s="18"/>
      <c r="AB143" s="18"/>
      <c r="AC143" s="18"/>
      <c r="AD143" s="18"/>
    </row>
    <row r="144" spans="1:32" ht="12.75" customHeight="1" x14ac:dyDescent="0.35">
      <c r="A144" s="53">
        <v>11.6</v>
      </c>
      <c r="B144" s="1" t="s">
        <v>108</v>
      </c>
      <c r="C144" s="32">
        <v>113267.79</v>
      </c>
      <c r="D144" s="35">
        <f>205104.55-8000</f>
        <v>197104.55</v>
      </c>
      <c r="E144" s="32">
        <v>86772.7</v>
      </c>
      <c r="F144" s="64">
        <v>172340.18999999997</v>
      </c>
      <c r="G144" s="35">
        <v>150000</v>
      </c>
      <c r="H144" s="32"/>
      <c r="I144" s="63">
        <f>25*5000</f>
        <v>125000</v>
      </c>
      <c r="J144" s="32"/>
      <c r="K144" s="63">
        <f>F144</f>
        <v>172340.18999999997</v>
      </c>
      <c r="L144" s="32"/>
      <c r="M144" s="32">
        <f>26*5000</f>
        <v>130000</v>
      </c>
      <c r="N144" s="32"/>
      <c r="O144" s="32">
        <f>(26*5000)+(10*5000)</f>
        <v>180000</v>
      </c>
      <c r="P144" s="32" t="s">
        <v>255</v>
      </c>
      <c r="Q144" s="67" t="s">
        <v>204</v>
      </c>
      <c r="R144" s="67"/>
      <c r="S144" s="67"/>
      <c r="T144" s="67"/>
      <c r="U144" s="18"/>
      <c r="V144" s="30"/>
      <c r="W144" s="18"/>
      <c r="X144" s="30"/>
      <c r="Y144" s="18"/>
      <c r="Z144" s="18"/>
      <c r="AA144" s="18"/>
      <c r="AB144" s="18"/>
      <c r="AC144" s="18"/>
      <c r="AD144" s="18"/>
    </row>
    <row r="145" spans="1:32" ht="12.75" customHeight="1" x14ac:dyDescent="0.35">
      <c r="A145" s="53"/>
      <c r="B145" s="5" t="s">
        <v>109</v>
      </c>
      <c r="C145" s="20">
        <f>SUM(C139:C144)</f>
        <v>160826.32</v>
      </c>
      <c r="D145" s="36">
        <f>SUM(D139:D144)</f>
        <v>259997.41999999998</v>
      </c>
      <c r="E145" s="33">
        <f>SUM(E139:E144)</f>
        <v>110083.85</v>
      </c>
      <c r="F145" s="19">
        <f>E145-F139</f>
        <v>106595.21</v>
      </c>
      <c r="G145" s="36">
        <f>SUM(G139:G144)</f>
        <v>197000</v>
      </c>
      <c r="H145" s="19">
        <f>G145-H139+G161</f>
        <v>292377</v>
      </c>
      <c r="I145" s="33">
        <f>SUM(I139:I144)</f>
        <v>154690</v>
      </c>
      <c r="J145" s="19">
        <f>I145-J139</f>
        <v>135000</v>
      </c>
      <c r="K145" s="36">
        <f>SUM(K139:K144)</f>
        <v>223723.99</v>
      </c>
      <c r="L145" s="19">
        <f>K145-L139+K161</f>
        <v>271951.49</v>
      </c>
      <c r="M145" s="20">
        <f>SUM(M139:M144)</f>
        <v>161081.476</v>
      </c>
      <c r="N145" s="22"/>
      <c r="O145" s="20">
        <f>SUM(O139:O144)</f>
        <v>229500</v>
      </c>
      <c r="P145" s="22"/>
      <c r="Q145" s="67"/>
      <c r="R145" s="67"/>
      <c r="S145" s="67"/>
      <c r="T145" s="67"/>
      <c r="U145" s="22"/>
      <c r="V145" s="25"/>
      <c r="W145" s="22"/>
      <c r="X145" s="22"/>
      <c r="Y145" s="22"/>
      <c r="Z145" s="22"/>
      <c r="AA145" s="22"/>
      <c r="AB145" s="22"/>
      <c r="AC145" s="22"/>
      <c r="AD145" s="22"/>
      <c r="AF145" s="14">
        <f>G145/4</f>
        <v>49250</v>
      </c>
    </row>
    <row r="146" spans="1:32" ht="12.75" customHeight="1" x14ac:dyDescent="0.35">
      <c r="A146" s="53"/>
      <c r="C146" s="17"/>
      <c r="D146" s="37"/>
      <c r="E146" s="17"/>
      <c r="F146" s="17"/>
      <c r="G146" s="37"/>
      <c r="H146" s="17"/>
      <c r="I146" s="17"/>
      <c r="J146" s="17"/>
      <c r="K146" s="37"/>
      <c r="L146" s="17"/>
      <c r="M146" s="71"/>
      <c r="N146" s="71"/>
      <c r="O146" s="71"/>
      <c r="P146" s="71"/>
      <c r="Q146" s="67"/>
      <c r="R146" s="67"/>
      <c r="S146" s="67"/>
      <c r="T146" s="67"/>
      <c r="U146" s="17"/>
      <c r="V146" s="30"/>
      <c r="W146" s="17"/>
      <c r="X146" s="17"/>
      <c r="Y146" s="17"/>
      <c r="Z146" s="17"/>
      <c r="AA146" s="17"/>
      <c r="AB146" s="17"/>
      <c r="AC146" s="17"/>
      <c r="AD146" s="17"/>
    </row>
    <row r="147" spans="1:32" ht="12.75" customHeight="1" x14ac:dyDescent="0.35">
      <c r="A147" s="53">
        <v>12</v>
      </c>
      <c r="B147" s="3" t="s">
        <v>110</v>
      </c>
      <c r="C147" s="17"/>
      <c r="D147" s="37"/>
      <c r="E147" s="17"/>
      <c r="F147" s="17"/>
      <c r="G147" s="37"/>
      <c r="H147" s="17"/>
      <c r="I147" s="17"/>
      <c r="J147" s="17"/>
      <c r="K147" s="37"/>
      <c r="L147" s="17"/>
      <c r="M147" s="71"/>
      <c r="N147" s="71"/>
      <c r="O147" s="71"/>
      <c r="P147" s="71"/>
      <c r="Q147" s="67"/>
      <c r="R147" s="67"/>
      <c r="S147" s="67"/>
      <c r="T147" s="67"/>
      <c r="U147" s="17"/>
      <c r="V147" s="30"/>
      <c r="W147" s="17"/>
      <c r="X147" s="17"/>
      <c r="Y147" s="17"/>
      <c r="Z147" s="17"/>
      <c r="AA147" s="17"/>
      <c r="AB147" s="17"/>
      <c r="AC147" s="17"/>
      <c r="AD147" s="17"/>
    </row>
    <row r="148" spans="1:32" ht="12.75" customHeight="1" x14ac:dyDescent="0.35">
      <c r="A148" s="53"/>
      <c r="B148" s="1" t="s">
        <v>206</v>
      </c>
      <c r="C148" s="32">
        <v>0</v>
      </c>
      <c r="D148" s="35">
        <v>0</v>
      </c>
      <c r="E148" s="32">
        <v>14158.07</v>
      </c>
      <c r="F148" s="32"/>
      <c r="G148" s="35">
        <v>3500</v>
      </c>
      <c r="H148" s="63" t="s">
        <v>183</v>
      </c>
      <c r="I148" s="63">
        <f>900*135</f>
        <v>121500</v>
      </c>
      <c r="J148" s="32"/>
      <c r="K148" s="35">
        <v>4500</v>
      </c>
      <c r="L148" s="32"/>
      <c r="M148" s="32"/>
      <c r="N148" s="32"/>
      <c r="O148" s="32">
        <v>3500</v>
      </c>
      <c r="P148" s="32"/>
      <c r="Q148" s="67" t="s">
        <v>221</v>
      </c>
      <c r="R148" s="67"/>
      <c r="S148" s="67"/>
      <c r="T148" s="67"/>
      <c r="U148" s="18"/>
      <c r="V148" s="18"/>
      <c r="W148" s="18"/>
      <c r="X148" s="18"/>
      <c r="Y148" s="18"/>
      <c r="Z148" s="18"/>
      <c r="AA148" s="18"/>
      <c r="AB148" s="18"/>
      <c r="AC148" s="18"/>
      <c r="AD148" s="18"/>
    </row>
    <row r="149" spans="1:32" ht="12.75" customHeight="1" x14ac:dyDescent="0.35">
      <c r="A149" s="53"/>
      <c r="B149" s="1" t="s">
        <v>111</v>
      </c>
      <c r="C149" s="32">
        <v>0</v>
      </c>
      <c r="D149" s="35">
        <v>0</v>
      </c>
      <c r="E149" s="32">
        <v>1492</v>
      </c>
      <c r="F149" s="32"/>
      <c r="G149" s="35"/>
      <c r="H149" s="32"/>
      <c r="I149" s="32"/>
      <c r="J149" s="32"/>
      <c r="K149" s="35"/>
      <c r="L149" s="32"/>
      <c r="M149" s="32"/>
      <c r="N149" s="32"/>
      <c r="O149" s="32"/>
      <c r="P149" s="32"/>
      <c r="Q149" s="67"/>
      <c r="R149" s="67"/>
      <c r="S149" s="67"/>
      <c r="T149" s="67"/>
      <c r="U149" s="17"/>
      <c r="V149" s="17"/>
      <c r="W149" s="17"/>
      <c r="X149" s="17"/>
      <c r="Y149" s="17"/>
      <c r="Z149" s="17"/>
      <c r="AA149" s="17"/>
      <c r="AB149" s="17"/>
      <c r="AC149" s="17"/>
      <c r="AD149" s="17"/>
    </row>
    <row r="150" spans="1:32" ht="12.75" customHeight="1" x14ac:dyDescent="0.35">
      <c r="A150" s="53"/>
      <c r="B150" s="1" t="s">
        <v>112</v>
      </c>
      <c r="C150" s="32">
        <v>4454.51</v>
      </c>
      <c r="D150" s="35">
        <v>0</v>
      </c>
      <c r="E150" s="32">
        <v>0</v>
      </c>
      <c r="F150" s="32"/>
      <c r="G150" s="35">
        <v>63289</v>
      </c>
      <c r="H150" s="32"/>
      <c r="I150" s="32">
        <v>0</v>
      </c>
      <c r="J150" s="32"/>
      <c r="K150" s="35">
        <v>0</v>
      </c>
      <c r="L150" s="32"/>
      <c r="M150" s="32">
        <v>0</v>
      </c>
      <c r="N150" s="32"/>
      <c r="O150" s="32"/>
      <c r="P150" s="32"/>
      <c r="Q150" s="67"/>
      <c r="R150" s="67"/>
      <c r="S150" s="67"/>
      <c r="T150" s="67"/>
      <c r="U150" s="18"/>
      <c r="V150" s="22"/>
      <c r="W150" s="18"/>
      <c r="X150" s="18"/>
      <c r="Y150" s="18"/>
      <c r="Z150" s="18"/>
      <c r="AA150" s="18"/>
      <c r="AB150" s="18"/>
      <c r="AC150" s="18"/>
      <c r="AD150" s="18"/>
    </row>
    <row r="151" spans="1:32" ht="12.75" customHeight="1" x14ac:dyDescent="0.35">
      <c r="A151" s="53"/>
      <c r="C151" s="17"/>
      <c r="D151" s="37"/>
      <c r="E151" s="17"/>
      <c r="F151" s="17"/>
      <c r="G151" s="37"/>
      <c r="H151" s="17"/>
      <c r="I151" s="17"/>
      <c r="J151" s="17"/>
      <c r="K151" s="37"/>
      <c r="L151" s="17"/>
      <c r="M151" s="71"/>
      <c r="N151" s="71"/>
      <c r="O151" s="71"/>
      <c r="P151" s="71"/>
      <c r="Q151" s="67"/>
      <c r="R151" s="67"/>
      <c r="S151" s="67"/>
      <c r="T151" s="67"/>
      <c r="U151" s="17"/>
      <c r="V151" s="17"/>
      <c r="W151" s="17"/>
      <c r="X151" s="17"/>
      <c r="Y151" s="17"/>
      <c r="Z151" s="17"/>
      <c r="AA151" s="17"/>
      <c r="AB151" s="17"/>
      <c r="AC151" s="17"/>
      <c r="AD151" s="17"/>
    </row>
    <row r="152" spans="1:32" ht="12.75" customHeight="1" x14ac:dyDescent="0.35">
      <c r="A152" s="53">
        <v>13</v>
      </c>
      <c r="B152" s="3" t="s">
        <v>113</v>
      </c>
      <c r="C152" s="17"/>
      <c r="D152" s="37"/>
      <c r="E152" s="17"/>
      <c r="F152" s="17"/>
      <c r="G152" s="37"/>
      <c r="H152" s="17"/>
      <c r="I152" s="17"/>
      <c r="J152" s="17"/>
      <c r="K152" s="37"/>
      <c r="L152" s="17"/>
      <c r="M152" s="71"/>
      <c r="N152" s="71"/>
      <c r="O152" s="71"/>
      <c r="P152" s="71"/>
      <c r="Q152" s="67"/>
      <c r="R152" s="67"/>
      <c r="S152" s="67"/>
      <c r="T152" s="67"/>
      <c r="U152" s="17"/>
      <c r="V152" s="17"/>
      <c r="W152" s="17"/>
      <c r="X152" s="17"/>
      <c r="Y152" s="17"/>
      <c r="Z152" s="17"/>
      <c r="AA152" s="17"/>
      <c r="AB152" s="17"/>
      <c r="AC152" s="17"/>
      <c r="AD152" s="17"/>
    </row>
    <row r="153" spans="1:32" ht="12.75" customHeight="1" x14ac:dyDescent="0.35">
      <c r="A153" s="53"/>
      <c r="B153" s="1"/>
      <c r="D153" s="42"/>
      <c r="E153" s="18"/>
      <c r="F153" s="19"/>
      <c r="G153" s="42"/>
      <c r="H153" s="19"/>
      <c r="I153" s="18"/>
      <c r="J153" s="19"/>
      <c r="K153" s="42"/>
      <c r="L153" s="19"/>
      <c r="M153" s="18"/>
      <c r="N153" s="18"/>
      <c r="O153" s="18"/>
      <c r="P153" s="18"/>
      <c r="Q153" s="67"/>
      <c r="R153" s="67"/>
      <c r="S153" s="67"/>
      <c r="T153" s="67"/>
      <c r="U153" s="18"/>
      <c r="V153" s="18"/>
      <c r="W153" s="18"/>
      <c r="X153" s="18"/>
      <c r="Y153" s="18"/>
      <c r="Z153" s="18"/>
      <c r="AA153" s="18"/>
      <c r="AB153" s="18"/>
      <c r="AC153" s="18"/>
      <c r="AD153" s="18"/>
    </row>
    <row r="154" spans="1:32" ht="12.75" customHeight="1" x14ac:dyDescent="0.35">
      <c r="A154" s="53"/>
      <c r="B154" s="1" t="s">
        <v>152</v>
      </c>
      <c r="C154" s="32">
        <v>34706.449999999997</v>
      </c>
      <c r="D154" s="35">
        <v>0</v>
      </c>
      <c r="E154" s="32">
        <v>75307.61</v>
      </c>
      <c r="F154" s="32"/>
      <c r="G154" s="35">
        <v>0</v>
      </c>
      <c r="H154" s="32"/>
      <c r="I154" s="63">
        <v>83000</v>
      </c>
      <c r="J154" s="32"/>
      <c r="K154" s="35">
        <v>0</v>
      </c>
      <c r="L154" s="32"/>
      <c r="M154" s="32">
        <f>I154*1.05</f>
        <v>87150</v>
      </c>
      <c r="N154" s="32"/>
      <c r="O154" s="32">
        <v>0</v>
      </c>
      <c r="P154" s="32"/>
      <c r="Q154" s="67" t="s">
        <v>207</v>
      </c>
      <c r="R154" s="67"/>
      <c r="S154" s="67"/>
      <c r="T154" s="67"/>
      <c r="U154" s="18"/>
      <c r="V154" s="22"/>
      <c r="W154" s="18"/>
      <c r="X154" s="18"/>
      <c r="Y154" s="18"/>
      <c r="Z154" s="18"/>
      <c r="AA154" s="18"/>
      <c r="AB154" s="18"/>
      <c r="AC154" s="18"/>
      <c r="AD154" s="18"/>
    </row>
    <row r="155" spans="1:32" ht="12.75" customHeight="1" x14ac:dyDescent="0.35">
      <c r="A155" s="53"/>
      <c r="B155" s="5" t="s">
        <v>114</v>
      </c>
      <c r="C155" s="20">
        <f>SUM(C154:C154)</f>
        <v>34706.449999999997</v>
      </c>
      <c r="D155" s="36">
        <f>SUM(D153:D154)</f>
        <v>0</v>
      </c>
      <c r="E155" s="20">
        <f>SUM(E153:E154)</f>
        <v>75307.61</v>
      </c>
      <c r="F155" s="19"/>
      <c r="G155" s="36">
        <f>SUM(G153:G154)</f>
        <v>0</v>
      </c>
      <c r="H155" s="19"/>
      <c r="I155" s="20">
        <f>SUM(I153:I154)</f>
        <v>83000</v>
      </c>
      <c r="J155" s="19"/>
      <c r="K155" s="36">
        <f>SUM(K153:K154)</f>
        <v>0</v>
      </c>
      <c r="L155" s="19"/>
      <c r="M155" s="20">
        <f>SUM(M153:M154)</f>
        <v>87150</v>
      </c>
      <c r="N155" s="22"/>
      <c r="O155" s="20">
        <f>SUM(O153:O154)</f>
        <v>0</v>
      </c>
      <c r="P155" s="22"/>
      <c r="Q155" s="67"/>
      <c r="R155" s="67"/>
      <c r="S155" s="67"/>
      <c r="T155" s="67"/>
      <c r="U155" s="22"/>
      <c r="V155" s="22"/>
      <c r="W155" s="22"/>
      <c r="X155" s="22"/>
      <c r="Y155" s="22"/>
      <c r="Z155" s="22"/>
      <c r="AA155" s="22"/>
      <c r="AB155" s="22"/>
      <c r="AC155" s="22"/>
      <c r="AD155" s="22"/>
      <c r="AF155" s="14">
        <f>G155/4</f>
        <v>0</v>
      </c>
    </row>
    <row r="156" spans="1:32" ht="12.75" customHeight="1" x14ac:dyDescent="0.35">
      <c r="A156" s="53"/>
      <c r="C156" s="17"/>
      <c r="D156" s="37"/>
      <c r="E156" s="17"/>
      <c r="F156" s="17"/>
      <c r="G156" s="37"/>
      <c r="H156" s="17"/>
      <c r="I156" s="17"/>
      <c r="J156" s="17"/>
      <c r="K156" s="37"/>
      <c r="L156" s="17"/>
      <c r="M156" s="71"/>
      <c r="N156" s="71"/>
      <c r="O156" s="71"/>
      <c r="P156" s="71"/>
      <c r="Q156" s="67"/>
      <c r="R156" s="67"/>
      <c r="S156" s="67"/>
      <c r="T156" s="67"/>
      <c r="U156" s="17"/>
      <c r="V156" s="17"/>
      <c r="W156" s="17"/>
      <c r="X156" s="17"/>
      <c r="Y156" s="17"/>
      <c r="Z156" s="17"/>
      <c r="AA156" s="17"/>
      <c r="AB156" s="17"/>
      <c r="AC156" s="17"/>
      <c r="AD156" s="17"/>
    </row>
    <row r="157" spans="1:32" ht="12.75" customHeight="1" x14ac:dyDescent="0.35">
      <c r="A157" s="53">
        <v>14</v>
      </c>
      <c r="B157" s="3" t="s">
        <v>115</v>
      </c>
      <c r="C157" s="17"/>
      <c r="D157" s="37"/>
      <c r="E157" s="17"/>
      <c r="F157" s="17"/>
      <c r="G157" s="37"/>
      <c r="H157" s="17"/>
      <c r="I157" s="17"/>
      <c r="J157" s="17"/>
      <c r="K157" s="37"/>
      <c r="L157" s="17"/>
      <c r="M157" s="71"/>
      <c r="N157" s="71"/>
      <c r="O157" s="71"/>
      <c r="P157" s="71"/>
      <c r="Q157" s="67"/>
      <c r="R157" s="67"/>
      <c r="S157" s="67"/>
      <c r="T157" s="67"/>
      <c r="U157" s="17"/>
      <c r="V157" s="17"/>
      <c r="W157" s="17"/>
      <c r="X157" s="17"/>
      <c r="Y157" s="17"/>
      <c r="Z157" s="17"/>
      <c r="AA157" s="17"/>
      <c r="AB157" s="17"/>
      <c r="AC157" s="17"/>
      <c r="AD157" s="17"/>
    </row>
    <row r="158" spans="1:32" ht="12.75" customHeight="1" x14ac:dyDescent="0.35">
      <c r="A158" s="53"/>
      <c r="B158" s="1" t="s">
        <v>116</v>
      </c>
      <c r="C158" s="32">
        <v>0</v>
      </c>
      <c r="D158" s="35">
        <v>97921.01</v>
      </c>
      <c r="E158" s="32">
        <v>0</v>
      </c>
      <c r="F158" s="32"/>
      <c r="G158" s="35">
        <v>47742</v>
      </c>
      <c r="H158" s="32"/>
      <c r="I158" s="32">
        <v>0</v>
      </c>
      <c r="J158" s="32"/>
      <c r="K158" s="63">
        <f>G158*1.05</f>
        <v>50129.1</v>
      </c>
      <c r="L158" s="32"/>
      <c r="M158" s="32">
        <f>I158*1.05</f>
        <v>0</v>
      </c>
      <c r="N158" s="32"/>
      <c r="O158" s="32">
        <f>K158*1.1</f>
        <v>55142.01</v>
      </c>
      <c r="P158" s="32" t="s">
        <v>256</v>
      </c>
      <c r="Q158" s="67"/>
      <c r="R158" s="67"/>
      <c r="S158" s="67"/>
      <c r="T158" s="67"/>
      <c r="U158" s="17"/>
      <c r="V158" s="17"/>
      <c r="W158" s="17"/>
      <c r="X158" s="17"/>
      <c r="Y158" s="17"/>
      <c r="Z158" s="17"/>
      <c r="AA158" s="17"/>
      <c r="AB158" s="17"/>
      <c r="AC158" s="17"/>
      <c r="AD158" s="17"/>
    </row>
    <row r="159" spans="1:32" ht="12.75" customHeight="1" x14ac:dyDescent="0.35">
      <c r="A159" s="53"/>
      <c r="B159" s="1" t="s">
        <v>117</v>
      </c>
      <c r="C159" s="32">
        <v>0</v>
      </c>
      <c r="D159" s="35">
        <v>12240.3</v>
      </c>
      <c r="E159" s="32">
        <v>0</v>
      </c>
      <c r="F159" s="32"/>
      <c r="G159" s="35">
        <f>51771+20000</f>
        <v>71771</v>
      </c>
      <c r="H159" s="32"/>
      <c r="I159" s="32">
        <v>0</v>
      </c>
      <c r="J159" s="32"/>
      <c r="K159" s="63">
        <v>25100</v>
      </c>
      <c r="L159" s="32"/>
      <c r="M159" s="32">
        <f>I159*1.05</f>
        <v>0</v>
      </c>
      <c r="N159" s="32"/>
      <c r="O159" s="32">
        <v>14000</v>
      </c>
      <c r="P159" s="32" t="s">
        <v>264</v>
      </c>
      <c r="Q159" s="67" t="s">
        <v>214</v>
      </c>
      <c r="R159" s="67"/>
      <c r="S159" s="67"/>
      <c r="T159" s="67"/>
      <c r="U159" s="17"/>
      <c r="V159" s="17"/>
      <c r="W159" s="17"/>
      <c r="X159" s="17"/>
      <c r="Y159" s="17"/>
      <c r="Z159" s="17"/>
      <c r="AA159" s="17"/>
      <c r="AB159" s="17"/>
      <c r="AC159" s="17"/>
      <c r="AD159" s="17"/>
    </row>
    <row r="160" spans="1:32" ht="12.75" customHeight="1" x14ac:dyDescent="0.35">
      <c r="A160" s="53"/>
      <c r="B160" s="1" t="s">
        <v>118</v>
      </c>
      <c r="C160" s="32">
        <v>0</v>
      </c>
      <c r="D160" s="35">
        <v>1776.32</v>
      </c>
      <c r="E160" s="32">
        <v>0</v>
      </c>
      <c r="F160" s="32"/>
      <c r="G160" s="35">
        <v>10364</v>
      </c>
      <c r="H160" s="32"/>
      <c r="I160" s="32">
        <v>0</v>
      </c>
      <c r="J160" s="32"/>
      <c r="K160" s="63">
        <f>G160*1.05</f>
        <v>10882.2</v>
      </c>
      <c r="L160" s="32"/>
      <c r="M160" s="32">
        <f>I160*1.05</f>
        <v>0</v>
      </c>
      <c r="N160" s="32"/>
      <c r="O160" s="32">
        <v>17300</v>
      </c>
      <c r="P160" s="32" t="s">
        <v>251</v>
      </c>
      <c r="Q160" s="67" t="s">
        <v>213</v>
      </c>
      <c r="R160" s="67"/>
      <c r="S160" s="67"/>
      <c r="T160" s="67"/>
      <c r="U160" s="17"/>
      <c r="V160" s="17"/>
      <c r="W160" s="17"/>
      <c r="X160" s="17"/>
      <c r="Y160" s="17"/>
      <c r="Z160" s="17"/>
      <c r="AA160" s="17"/>
      <c r="AB160" s="17"/>
      <c r="AC160" s="17"/>
      <c r="AD160" s="17"/>
    </row>
    <row r="161" spans="1:32" ht="12.75" customHeight="1" x14ac:dyDescent="0.35">
      <c r="A161" s="53"/>
      <c r="B161" s="5" t="s">
        <v>119</v>
      </c>
      <c r="C161" s="20">
        <f>SUM(C158:C160)</f>
        <v>0</v>
      </c>
      <c r="D161" s="36">
        <f>SUM(D158:D160)</f>
        <v>111937.63</v>
      </c>
      <c r="E161" s="20">
        <f>SUM(E158:E160)</f>
        <v>0</v>
      </c>
      <c r="F161" s="19"/>
      <c r="G161" s="36">
        <f>SUM(G158:G160)</f>
        <v>129877</v>
      </c>
      <c r="H161" s="19"/>
      <c r="I161" s="20">
        <f>SUM(I158:I160)</f>
        <v>0</v>
      </c>
      <c r="J161" s="19"/>
      <c r="K161" s="36">
        <f>SUM(K158:K160)</f>
        <v>86111.3</v>
      </c>
      <c r="L161" s="19"/>
      <c r="M161" s="20">
        <f>SUM(M158:M160)</f>
        <v>0</v>
      </c>
      <c r="N161" s="22"/>
      <c r="O161" s="20">
        <f>SUM(O158:O160)</f>
        <v>86442.010000000009</v>
      </c>
      <c r="P161" s="22"/>
      <c r="Q161" s="67"/>
      <c r="R161" s="67"/>
      <c r="S161" s="67"/>
      <c r="T161" s="67"/>
      <c r="U161" s="22"/>
      <c r="V161" s="22"/>
      <c r="W161" s="22"/>
      <c r="X161" s="22"/>
      <c r="Y161" s="22"/>
      <c r="Z161" s="22"/>
      <c r="AA161" s="22"/>
      <c r="AB161" s="22"/>
      <c r="AC161" s="22"/>
      <c r="AD161" s="22"/>
      <c r="AF161" s="14">
        <f>G161/4</f>
        <v>32469.25</v>
      </c>
    </row>
    <row r="162" spans="1:32" ht="12.75" customHeight="1" x14ac:dyDescent="0.35">
      <c r="A162" s="53"/>
      <c r="C162" s="17"/>
      <c r="D162" s="37"/>
      <c r="E162" s="17"/>
      <c r="F162" s="17"/>
      <c r="G162" s="37"/>
      <c r="H162" s="17"/>
      <c r="I162" s="17"/>
      <c r="J162" s="17"/>
      <c r="K162" s="37"/>
      <c r="L162" s="17"/>
      <c r="M162" s="71"/>
      <c r="N162" s="71"/>
      <c r="O162" s="71"/>
      <c r="P162" s="71"/>
      <c r="Q162" s="67"/>
      <c r="R162" s="67"/>
      <c r="S162" s="67"/>
      <c r="T162" s="67"/>
      <c r="U162" s="17"/>
      <c r="V162" s="17"/>
      <c r="W162" s="17"/>
      <c r="X162" s="17"/>
      <c r="Y162" s="17"/>
      <c r="Z162" s="17"/>
      <c r="AA162" s="17"/>
      <c r="AB162" s="17"/>
      <c r="AC162" s="17"/>
      <c r="AD162" s="17"/>
    </row>
    <row r="163" spans="1:32" ht="12.75" customHeight="1" x14ac:dyDescent="0.35">
      <c r="A163" s="53">
        <v>15</v>
      </c>
      <c r="B163" s="3" t="s">
        <v>120</v>
      </c>
      <c r="C163" s="17"/>
      <c r="D163" s="37"/>
      <c r="E163" s="17"/>
      <c r="F163" s="17"/>
      <c r="G163" s="37"/>
      <c r="H163" s="17"/>
      <c r="I163" s="17"/>
      <c r="J163" s="17"/>
      <c r="K163" s="37"/>
      <c r="L163" s="17"/>
      <c r="M163" s="71"/>
      <c r="N163" s="71"/>
      <c r="O163" s="71"/>
      <c r="P163" s="71"/>
      <c r="Q163" s="67"/>
      <c r="R163" s="67"/>
      <c r="S163" s="67"/>
      <c r="T163" s="67"/>
      <c r="U163" s="17"/>
      <c r="V163" s="17"/>
      <c r="W163" s="17"/>
      <c r="X163" s="17"/>
      <c r="Y163" s="17"/>
      <c r="Z163" s="17"/>
      <c r="AA163" s="17"/>
      <c r="AB163" s="17"/>
      <c r="AC163" s="17"/>
      <c r="AD163" s="17"/>
    </row>
    <row r="164" spans="1:32" ht="12.75" customHeight="1" x14ac:dyDescent="0.35">
      <c r="A164" s="53"/>
      <c r="B164" s="1" t="s">
        <v>55</v>
      </c>
      <c r="C164" s="18">
        <v>0</v>
      </c>
      <c r="D164" s="42">
        <v>130751.62</v>
      </c>
      <c r="E164" s="18">
        <v>157.02000000000001</v>
      </c>
      <c r="F164" s="19"/>
      <c r="G164" s="42">
        <v>134000</v>
      </c>
      <c r="H164" s="19"/>
      <c r="I164" s="18">
        <v>0</v>
      </c>
      <c r="J164" s="19"/>
      <c r="K164" s="37">
        <f>G164*1.05</f>
        <v>140700</v>
      </c>
      <c r="L164" s="19"/>
      <c r="M164" s="71">
        <f>I164*1.05</f>
        <v>0</v>
      </c>
      <c r="N164" s="71"/>
      <c r="O164" s="71">
        <f>K164*1.05</f>
        <v>147735</v>
      </c>
      <c r="P164" s="71" t="s">
        <v>257</v>
      </c>
      <c r="Q164" s="67" t="s">
        <v>208</v>
      </c>
      <c r="R164" s="67"/>
      <c r="S164" s="67"/>
      <c r="T164" s="67"/>
      <c r="U164" s="17"/>
      <c r="V164" s="17"/>
      <c r="W164" s="17"/>
      <c r="X164" s="17"/>
      <c r="Y164" s="17"/>
      <c r="Z164" s="17"/>
      <c r="AA164" s="17"/>
      <c r="AB164" s="17"/>
      <c r="AC164" s="17"/>
      <c r="AD164" s="17"/>
    </row>
    <row r="165" spans="1:32" ht="12.75" customHeight="1" x14ac:dyDescent="0.35">
      <c r="A165" s="53"/>
      <c r="B165" s="5" t="s">
        <v>121</v>
      </c>
      <c r="C165" s="20">
        <f>SUM(C164:C164)</f>
        <v>0</v>
      </c>
      <c r="D165" s="36">
        <f>SUM(D164:D164)</f>
        <v>130751.62</v>
      </c>
      <c r="E165" s="20">
        <f>SUM(E164:E164)</f>
        <v>157.02000000000001</v>
      </c>
      <c r="F165" s="19"/>
      <c r="G165" s="36">
        <f>SUM(G164:G164)</f>
        <v>134000</v>
      </c>
      <c r="H165" s="19"/>
      <c r="I165" s="20">
        <f>SUM(I164:I164)</f>
        <v>0</v>
      </c>
      <c r="J165" s="19"/>
      <c r="K165" s="36">
        <f>SUM(K164:K164)</f>
        <v>140700</v>
      </c>
      <c r="L165" s="19"/>
      <c r="M165" s="20">
        <f>SUM(M164:M164)</f>
        <v>0</v>
      </c>
      <c r="N165" s="22"/>
      <c r="O165" s="20">
        <f>SUM(O164:O164)</f>
        <v>147735</v>
      </c>
      <c r="P165" s="22"/>
      <c r="Q165" s="67"/>
      <c r="R165" s="67"/>
      <c r="S165" s="67"/>
      <c r="T165" s="67"/>
      <c r="U165" s="22"/>
      <c r="V165" s="22"/>
      <c r="W165" s="22"/>
      <c r="X165" s="22"/>
      <c r="Y165" s="22"/>
      <c r="Z165" s="22"/>
      <c r="AA165" s="22"/>
      <c r="AB165" s="22"/>
      <c r="AC165" s="22"/>
      <c r="AD165" s="22"/>
      <c r="AF165" s="14">
        <f>G165/4</f>
        <v>33500</v>
      </c>
    </row>
    <row r="166" spans="1:32" ht="12.75" customHeight="1" x14ac:dyDescent="0.35">
      <c r="A166" s="53"/>
      <c r="C166" s="17"/>
      <c r="D166" s="37"/>
      <c r="E166" s="17"/>
      <c r="F166" s="17"/>
      <c r="G166" s="37"/>
      <c r="H166" s="17"/>
      <c r="I166" s="17"/>
      <c r="J166" s="17"/>
      <c r="K166" s="37"/>
      <c r="L166" s="17"/>
      <c r="M166" s="71"/>
      <c r="N166" s="71"/>
      <c r="O166" s="71"/>
      <c r="P166" s="71"/>
      <c r="Q166" s="67"/>
      <c r="R166" s="67"/>
      <c r="S166" s="67"/>
      <c r="T166" s="67"/>
      <c r="U166" s="17"/>
      <c r="V166" s="17"/>
      <c r="W166" s="17"/>
      <c r="X166" s="17"/>
      <c r="Y166" s="17"/>
      <c r="Z166" s="17"/>
      <c r="AA166" s="17"/>
      <c r="AB166" s="17"/>
      <c r="AC166" s="17"/>
      <c r="AD166" s="17"/>
    </row>
    <row r="167" spans="1:32" ht="12.75" customHeight="1" x14ac:dyDescent="0.35">
      <c r="A167" s="53">
        <v>16</v>
      </c>
      <c r="B167" s="3" t="s">
        <v>122</v>
      </c>
      <c r="C167" s="17"/>
      <c r="D167" s="37"/>
      <c r="E167" s="17"/>
      <c r="F167" s="17"/>
      <c r="G167" s="37"/>
      <c r="H167" s="17"/>
      <c r="I167" s="17"/>
      <c r="J167" s="17"/>
      <c r="K167" s="37"/>
      <c r="L167" s="17"/>
      <c r="M167" s="71"/>
      <c r="N167" s="71"/>
      <c r="O167" s="71"/>
      <c r="P167" s="71"/>
      <c r="Q167" s="67"/>
      <c r="R167" s="67"/>
      <c r="S167" s="67"/>
      <c r="T167" s="67"/>
      <c r="U167" s="17"/>
      <c r="V167" s="17"/>
      <c r="W167" s="17"/>
      <c r="X167" s="17"/>
      <c r="Y167" s="17"/>
      <c r="Z167" s="17"/>
      <c r="AA167" s="17"/>
      <c r="AB167" s="17"/>
      <c r="AC167" s="17"/>
      <c r="AD167" s="17"/>
    </row>
    <row r="168" spans="1:32" ht="12.75" customHeight="1" x14ac:dyDescent="0.35">
      <c r="A168" s="53"/>
      <c r="B168" s="1" t="s">
        <v>123</v>
      </c>
      <c r="C168" s="32">
        <v>0</v>
      </c>
      <c r="D168" s="35">
        <v>2089.73</v>
      </c>
      <c r="E168" s="32">
        <v>2154.39</v>
      </c>
      <c r="F168" s="32"/>
      <c r="G168" s="35">
        <v>10000</v>
      </c>
      <c r="H168" s="32"/>
      <c r="I168" s="32">
        <v>10000</v>
      </c>
      <c r="J168" s="32"/>
      <c r="K168" s="35">
        <v>10000</v>
      </c>
      <c r="L168" s="32"/>
      <c r="M168" s="32">
        <v>10000</v>
      </c>
      <c r="N168" s="32"/>
      <c r="O168" s="32">
        <v>16000</v>
      </c>
      <c r="P168" s="32" t="s">
        <v>258</v>
      </c>
      <c r="Q168" s="67"/>
      <c r="R168" s="67"/>
      <c r="S168" s="67"/>
      <c r="T168" s="67"/>
      <c r="U168" s="18"/>
      <c r="V168" s="18"/>
      <c r="W168" s="18"/>
      <c r="X168" s="18"/>
      <c r="Y168" s="18"/>
      <c r="Z168" s="18"/>
      <c r="AA168" s="18"/>
      <c r="AB168" s="18"/>
      <c r="AC168" s="18"/>
      <c r="AD168" s="18"/>
    </row>
    <row r="169" spans="1:32" ht="12.75" customHeight="1" x14ac:dyDescent="0.35">
      <c r="A169" s="53"/>
      <c r="B169" s="5" t="s">
        <v>124</v>
      </c>
      <c r="C169" s="20">
        <f>SUM(C168:C168)</f>
        <v>0</v>
      </c>
      <c r="D169" s="36">
        <f>SUM(D168:D168)</f>
        <v>2089.73</v>
      </c>
      <c r="E169" s="20">
        <f>SUM(E168:E168)</f>
        <v>2154.39</v>
      </c>
      <c r="F169" s="19"/>
      <c r="G169" s="36">
        <v>10000</v>
      </c>
      <c r="H169" s="19"/>
      <c r="I169" s="20">
        <v>10000</v>
      </c>
      <c r="J169" s="19"/>
      <c r="K169" s="36">
        <v>10000</v>
      </c>
      <c r="L169" s="19"/>
      <c r="M169" s="20">
        <v>10000</v>
      </c>
      <c r="N169" s="22"/>
      <c r="O169" s="20">
        <f>O168</f>
        <v>16000</v>
      </c>
      <c r="P169" s="22"/>
      <c r="Q169" s="67"/>
      <c r="R169" s="67"/>
      <c r="S169" s="67"/>
      <c r="T169" s="67"/>
      <c r="U169" s="22"/>
      <c r="V169" s="22"/>
      <c r="W169" s="22"/>
      <c r="X169" s="22"/>
      <c r="Y169" s="22"/>
      <c r="Z169" s="22"/>
      <c r="AA169" s="22"/>
      <c r="AB169" s="22"/>
      <c r="AC169" s="22"/>
      <c r="AD169" s="22"/>
    </row>
    <row r="170" spans="1:32" ht="12.75" customHeight="1" x14ac:dyDescent="0.35">
      <c r="A170" s="53"/>
      <c r="C170" s="17"/>
      <c r="D170" s="37"/>
      <c r="E170" s="17"/>
      <c r="F170" s="17"/>
      <c r="G170" s="37"/>
      <c r="H170" s="17"/>
      <c r="I170" s="17"/>
      <c r="J170" s="17"/>
      <c r="K170" s="37"/>
      <c r="L170" s="17"/>
      <c r="M170" s="71"/>
      <c r="N170" s="71"/>
      <c r="O170" s="71"/>
      <c r="P170" s="71"/>
      <c r="Q170" s="67"/>
      <c r="R170" s="67"/>
      <c r="S170" s="67"/>
      <c r="T170" s="67"/>
      <c r="U170" s="17"/>
      <c r="V170" s="17"/>
      <c r="W170" s="17"/>
      <c r="X170" s="17"/>
      <c r="Y170" s="17"/>
      <c r="Z170" s="17"/>
      <c r="AA170" s="17"/>
      <c r="AB170" s="17"/>
      <c r="AC170" s="17"/>
      <c r="AD170" s="17"/>
    </row>
    <row r="171" spans="1:32" ht="12.75" customHeight="1" thickBot="1" x14ac:dyDescent="0.4">
      <c r="A171" s="53"/>
      <c r="B171" s="6" t="s">
        <v>125</v>
      </c>
      <c r="C171" s="16">
        <f>(0+((C148+C149+C150))+(C155)+(C161)+(C165)+(C169))-(0)</f>
        <v>39160.959999999999</v>
      </c>
      <c r="D171" s="38">
        <f>(0+((D148+D149+D150))+(D155)+(D161)+(D165)+(D169))-(0)</f>
        <v>244778.98</v>
      </c>
      <c r="E171" s="16">
        <f>(0+((E148+E149+E150))+(E155)+(E161)+(E165)+(E169))-(0)</f>
        <v>93269.09</v>
      </c>
      <c r="F171" s="19">
        <f>E171-E161</f>
        <v>93269.09</v>
      </c>
      <c r="G171" s="38">
        <f>(0+((G148+G149+G150))+(G155)+(G161)+(G165)+(G169))-(0)</f>
        <v>340666</v>
      </c>
      <c r="H171" s="19">
        <f>G171-G161</f>
        <v>210789</v>
      </c>
      <c r="I171" s="16">
        <f>(0+((I148+I149+I150))+(I155)+(I161)+(I165)+(I169))-(0)</f>
        <v>214500</v>
      </c>
      <c r="J171" s="19">
        <f>I171-I161</f>
        <v>214500</v>
      </c>
      <c r="K171" s="38">
        <f>(0+((K148+K149+K150))+(K155)+(K161)+(K165)+(K169))-(0)</f>
        <v>241311.3</v>
      </c>
      <c r="L171" s="19">
        <f>K171-K161</f>
        <v>155200</v>
      </c>
      <c r="M171" s="16">
        <f>(0+((M148+M149+M150))+(M155)+(M161)+(M165)+(M169))-(0)</f>
        <v>97150</v>
      </c>
      <c r="N171" s="22"/>
      <c r="O171" s="16">
        <f>(0+((O148+O149+O150))+(O155)+(O161)+(O165)+(O169))-(0)</f>
        <v>253677.01</v>
      </c>
      <c r="P171" s="22"/>
      <c r="Q171" s="67"/>
      <c r="R171" s="67"/>
      <c r="S171" s="67"/>
      <c r="T171" s="67"/>
      <c r="U171" s="22"/>
      <c r="V171" s="22"/>
      <c r="W171" s="22"/>
      <c r="X171" s="22"/>
      <c r="Y171" s="22"/>
      <c r="Z171" s="22"/>
      <c r="AA171" s="22"/>
      <c r="AB171" s="22"/>
      <c r="AC171" s="22"/>
      <c r="AD171" s="22"/>
      <c r="AF171" s="14">
        <f>G171/4</f>
        <v>85166.5</v>
      </c>
    </row>
    <row r="172" spans="1:32" ht="12.75" customHeight="1" thickTop="1" x14ac:dyDescent="0.35">
      <c r="A172" s="53"/>
      <c r="C172" s="17"/>
      <c r="D172" s="37"/>
      <c r="E172" s="17"/>
      <c r="F172" s="17"/>
      <c r="G172" s="37"/>
      <c r="H172" s="17"/>
      <c r="I172" s="17"/>
      <c r="J172" s="17"/>
      <c r="K172" s="37"/>
      <c r="L172" s="17"/>
      <c r="M172" s="71"/>
      <c r="N172" s="71"/>
      <c r="O172" s="71"/>
      <c r="P172" s="71"/>
      <c r="Q172" s="67"/>
      <c r="R172" s="67"/>
      <c r="S172" s="67"/>
      <c r="T172" s="67"/>
      <c r="U172" s="17"/>
      <c r="V172" s="17"/>
      <c r="W172" s="17"/>
      <c r="X172" s="17"/>
      <c r="Y172" s="17"/>
      <c r="Z172" s="17"/>
      <c r="AA172" s="17"/>
      <c r="AB172" s="17"/>
      <c r="AC172" s="17"/>
      <c r="AD172" s="17"/>
    </row>
    <row r="173" spans="1:32" ht="12.75" customHeight="1" thickBot="1" x14ac:dyDescent="0.4">
      <c r="A173" s="53"/>
      <c r="B173" s="6" t="s">
        <v>126</v>
      </c>
      <c r="C173" s="16">
        <f>(0+(0)+(C115)+(C129)+(C136)+(C145)+(C102)+(C171))-(0)</f>
        <v>595328.86</v>
      </c>
      <c r="D173" s="38">
        <f>(0+(0)+(D115)+(D129)+(D136)+(D145)+(D102)+(D171))-(0)</f>
        <v>1032353.76</v>
      </c>
      <c r="E173" s="33">
        <f>(0+(0)+(E115)+(E129)+(E136)+(E145)+(E102)+(E171))-(0)</f>
        <v>684588.63</v>
      </c>
      <c r="F173" s="19">
        <f>SUM(F102:F171)</f>
        <v>1261505.4500000002</v>
      </c>
      <c r="G173" s="38">
        <f>(0+(0)+(G115)+(G129)+(G136)+(G145)+(G102)+(G171))-(0)</f>
        <v>1027708</v>
      </c>
      <c r="H173" s="19">
        <f>SUM(H102:H171)</f>
        <v>1027708</v>
      </c>
      <c r="I173" s="38">
        <f>(0+(0)+(I115)+(I129)+(I136)+(I145)+(I102)+(I171))-(0)</f>
        <v>859765.56579999998</v>
      </c>
      <c r="J173" s="19">
        <f>SUM(J102:J171)</f>
        <v>859765.56579999998</v>
      </c>
      <c r="K173" s="38">
        <f>(0+(0)+(K115)+(K129)+(K136)+(K145)+(K102)+(K171))-(0)</f>
        <v>970039.16448400007</v>
      </c>
      <c r="L173" s="19">
        <f>SUM(L102:L171)</f>
        <v>970039.16448400007</v>
      </c>
      <c r="M173" s="16">
        <f>(0+(0)+(M115)+(M129)+(M136)+(M145)+(M102)+(M171))-(0)</f>
        <v>777016.32159432</v>
      </c>
      <c r="N173" s="22"/>
      <c r="O173" s="16">
        <f>(0+(0)+(O115)+(O129)+(O136)+(O145)+(O102)+(O171))-(0)</f>
        <v>1016616.2959244336</v>
      </c>
      <c r="P173" s="22"/>
      <c r="Q173" s="67"/>
      <c r="R173" s="67"/>
      <c r="S173" s="67"/>
      <c r="T173" s="67"/>
      <c r="U173" s="22">
        <f>K173-L173</f>
        <v>0</v>
      </c>
      <c r="V173" s="25"/>
      <c r="W173" s="22"/>
      <c r="X173" s="22"/>
      <c r="Y173" s="22"/>
      <c r="Z173" s="22"/>
      <c r="AA173" s="22"/>
      <c r="AB173" s="22"/>
      <c r="AC173" s="22"/>
      <c r="AD173" s="22"/>
      <c r="AF173" s="14">
        <f>G173/4</f>
        <v>256927</v>
      </c>
    </row>
    <row r="174" spans="1:32" ht="12.75" customHeight="1" thickTop="1" x14ac:dyDescent="0.35">
      <c r="A174" s="53"/>
      <c r="C174" s="17"/>
      <c r="D174" s="37"/>
      <c r="E174" s="17"/>
      <c r="F174" s="17"/>
      <c r="G174" s="37"/>
      <c r="H174" s="37"/>
      <c r="I174" s="17"/>
      <c r="J174" s="17"/>
      <c r="K174" s="37"/>
      <c r="L174" s="37"/>
      <c r="M174" s="71"/>
      <c r="N174" s="71"/>
      <c r="O174" s="71"/>
      <c r="P174" s="71"/>
      <c r="Q174" s="67"/>
      <c r="R174" s="67"/>
      <c r="S174" s="67"/>
      <c r="T174" s="67"/>
      <c r="U174" s="17"/>
      <c r="V174" s="30"/>
      <c r="W174" s="17"/>
      <c r="X174" s="17"/>
      <c r="Y174" s="17"/>
      <c r="Z174" s="17"/>
      <c r="AA174" s="17"/>
      <c r="AB174" s="17"/>
      <c r="AC174" s="17"/>
      <c r="AD174" s="17"/>
    </row>
    <row r="175" spans="1:32" ht="12.75" customHeight="1" thickBot="1" x14ac:dyDescent="0.4">
      <c r="A175" s="53">
        <v>17</v>
      </c>
      <c r="B175" s="6" t="s">
        <v>168</v>
      </c>
      <c r="C175" s="21">
        <f>(C90)+(0)-(C173)</f>
        <v>-84265.87</v>
      </c>
      <c r="D175" s="43">
        <f>(D90)+(0)-(D173)</f>
        <v>-181487.35999999987</v>
      </c>
      <c r="E175" s="16">
        <f>(E90)+(0)-(E173)</f>
        <v>37392.890000000014</v>
      </c>
      <c r="F175" s="19"/>
      <c r="G175" s="38">
        <f>(G90)+(0)-(G173)</f>
        <v>22960.349469090812</v>
      </c>
      <c r="H175" s="38"/>
      <c r="I175" s="66">
        <f>(I90)+(0)-(I173)</f>
        <v>20146.91165454546</v>
      </c>
      <c r="J175" s="16"/>
      <c r="K175" s="66">
        <f>(K90)+(0)-(K173)</f>
        <v>28002.241343272734</v>
      </c>
      <c r="L175" s="58"/>
      <c r="M175" s="16">
        <f>(M90)+(0)-(M173)</f>
        <v>24695.062024316518</v>
      </c>
      <c r="N175" s="22"/>
      <c r="O175" s="16">
        <f>(O90)+(0)-(O173)</f>
        <v>17632.107268206193</v>
      </c>
      <c r="P175" s="22"/>
      <c r="Q175" s="67"/>
      <c r="R175" s="67"/>
      <c r="S175" s="67"/>
      <c r="T175" s="67"/>
      <c r="U175" s="22"/>
      <c r="V175" s="30"/>
      <c r="W175" s="22"/>
      <c r="X175" s="22"/>
      <c r="Y175" s="22"/>
      <c r="Z175" s="22"/>
      <c r="AA175" s="22"/>
      <c r="AB175" s="22"/>
      <c r="AC175" s="22"/>
      <c r="AD175" s="22"/>
      <c r="AE175" s="17">
        <f>K175-AE52</f>
        <v>-22428.965014909161</v>
      </c>
      <c r="AF175" s="14">
        <f>G175/4</f>
        <v>5740.087367272703</v>
      </c>
    </row>
    <row r="176" spans="1:32" ht="12.75" customHeight="1" thickTop="1" x14ac:dyDescent="0.35">
      <c r="A176" s="53"/>
      <c r="Q176" s="67"/>
      <c r="R176" s="67"/>
      <c r="S176" s="67"/>
      <c r="T176" s="67"/>
    </row>
    <row r="177" spans="1:22" ht="12.75" customHeight="1" x14ac:dyDescent="0.35">
      <c r="A177" s="53"/>
      <c r="B177" s="3" t="s">
        <v>127</v>
      </c>
      <c r="Q177" s="67"/>
      <c r="R177" s="67"/>
      <c r="S177" s="67"/>
      <c r="T177" s="67"/>
    </row>
    <row r="178" spans="1:22" ht="12.75" customHeight="1" x14ac:dyDescent="0.35">
      <c r="A178" s="53"/>
      <c r="B178" s="1" t="s">
        <v>128</v>
      </c>
      <c r="C178" s="32">
        <v>0</v>
      </c>
      <c r="D178" s="35">
        <v>0</v>
      </c>
      <c r="E178" s="32">
        <v>30256.32</v>
      </c>
      <c r="F178" s="2"/>
      <c r="Q178" s="67"/>
      <c r="R178" s="67"/>
      <c r="S178" s="67"/>
      <c r="T178" s="67"/>
    </row>
    <row r="179" spans="1:22" ht="12.75" customHeight="1" x14ac:dyDescent="0.35">
      <c r="A179" s="53"/>
      <c r="B179" s="5" t="s">
        <v>129</v>
      </c>
      <c r="C179" s="32">
        <f>SUM(C178:C178)</f>
        <v>0</v>
      </c>
      <c r="D179" s="35">
        <f>SUM(D178:D178)</f>
        <v>0</v>
      </c>
      <c r="E179" s="32">
        <f>SUM(E178:E178)</f>
        <v>30256.32</v>
      </c>
      <c r="F179" s="2"/>
      <c r="Q179" s="67"/>
      <c r="R179" s="67"/>
      <c r="S179" s="67"/>
      <c r="T179" s="67"/>
    </row>
    <row r="180" spans="1:22" ht="12.75" customHeight="1" x14ac:dyDescent="0.35">
      <c r="A180" s="53"/>
      <c r="C180" s="17"/>
      <c r="D180" s="37"/>
      <c r="E180" s="17"/>
      <c r="Q180" s="67"/>
      <c r="R180" s="67"/>
      <c r="S180" s="67"/>
      <c r="T180" s="67"/>
    </row>
    <row r="181" spans="1:22" ht="12.75" customHeight="1" thickBot="1" x14ac:dyDescent="0.4">
      <c r="A181" s="53"/>
      <c r="B181" s="6" t="s">
        <v>130</v>
      </c>
      <c r="C181" s="21">
        <f>(C175)+(0)-(C179)</f>
        <v>-84265.87</v>
      </c>
      <c r="D181" s="43">
        <f>(D175)+(0)-(D179)</f>
        <v>-181487.35999999987</v>
      </c>
      <c r="E181" s="21">
        <f>(E175)+(0)-(E179)</f>
        <v>7136.5700000000143</v>
      </c>
      <c r="F181" s="2"/>
      <c r="G181" s="43">
        <f>G175</f>
        <v>22960.349469090812</v>
      </c>
      <c r="H181" s="43"/>
      <c r="I181" s="21">
        <f>I175</f>
        <v>20146.91165454546</v>
      </c>
      <c r="J181" s="21"/>
      <c r="K181" s="43">
        <f>K175</f>
        <v>28002.241343272734</v>
      </c>
      <c r="L181" s="60"/>
      <c r="M181" s="21">
        <f>M175</f>
        <v>24695.062024316518</v>
      </c>
      <c r="N181" s="131"/>
      <c r="O181" s="21">
        <f>O175</f>
        <v>17632.107268206193</v>
      </c>
      <c r="P181" s="131"/>
      <c r="Q181" s="67"/>
      <c r="R181" s="67"/>
      <c r="S181" s="67"/>
      <c r="T181" s="67"/>
    </row>
    <row r="182" spans="1:22" ht="16.5" customHeight="1" thickTop="1" x14ac:dyDescent="0.35">
      <c r="A182" s="53"/>
      <c r="Q182" s="67"/>
      <c r="R182" s="67"/>
      <c r="S182" s="67"/>
      <c r="T182" s="67"/>
    </row>
    <row r="183" spans="1:22" ht="12.75" customHeight="1" x14ac:dyDescent="0.35">
      <c r="A183" s="53"/>
      <c r="C183" s="9" t="s">
        <v>2</v>
      </c>
      <c r="D183" s="44" t="s">
        <v>1</v>
      </c>
      <c r="E183" s="9" t="s">
        <v>0</v>
      </c>
      <c r="F183" s="2"/>
      <c r="G183" s="46">
        <v>43617</v>
      </c>
      <c r="H183" s="46"/>
      <c r="I183" s="47">
        <v>43983</v>
      </c>
      <c r="J183" s="47"/>
      <c r="K183" s="46">
        <v>44348</v>
      </c>
      <c r="L183" s="46"/>
      <c r="M183" s="128" t="s">
        <v>265</v>
      </c>
      <c r="N183" s="70"/>
      <c r="O183" s="128">
        <v>45078</v>
      </c>
      <c r="P183" s="70"/>
      <c r="Q183" s="67"/>
      <c r="R183" s="67"/>
      <c r="S183" s="67"/>
      <c r="T183" s="67"/>
    </row>
    <row r="184" spans="1:22" ht="12.75" customHeight="1" x14ac:dyDescent="0.35">
      <c r="A184" s="53"/>
      <c r="B184" s="31"/>
      <c r="G184" s="44" t="s">
        <v>131</v>
      </c>
      <c r="H184" s="44"/>
      <c r="I184" s="9" t="s">
        <v>132</v>
      </c>
      <c r="J184" s="9"/>
      <c r="K184" s="44" t="s">
        <v>132</v>
      </c>
      <c r="L184" s="44"/>
      <c r="M184" s="9" t="s">
        <v>132</v>
      </c>
      <c r="N184" s="9"/>
      <c r="O184" s="9" t="s">
        <v>132</v>
      </c>
      <c r="P184" s="9"/>
      <c r="Q184" s="67"/>
      <c r="R184" s="67"/>
      <c r="S184" s="67"/>
      <c r="T184" s="67"/>
      <c r="U184" s="31"/>
      <c r="V184" s="31"/>
    </row>
    <row r="185" spans="1:22" ht="12.75" customHeight="1" x14ac:dyDescent="0.35">
      <c r="A185" s="53"/>
      <c r="B185" s="31"/>
      <c r="C185" s="31"/>
      <c r="D185" s="31"/>
      <c r="E185" s="31"/>
      <c r="F185" s="31"/>
      <c r="G185" s="31"/>
      <c r="H185" s="31"/>
      <c r="I185" s="31"/>
      <c r="J185" s="31"/>
      <c r="K185" s="31"/>
      <c r="L185" s="31"/>
      <c r="Q185" s="67"/>
      <c r="R185" s="67"/>
      <c r="S185" s="67"/>
      <c r="T185" s="67"/>
      <c r="U185" s="31"/>
      <c r="V185" s="31"/>
    </row>
    <row r="186" spans="1:22" ht="12.75" customHeight="1" x14ac:dyDescent="0.35">
      <c r="A186" s="87"/>
      <c r="B186" s="31"/>
      <c r="C186" s="31"/>
      <c r="D186" s="31"/>
      <c r="E186" s="31"/>
      <c r="F186" s="31"/>
      <c r="G186" s="31"/>
      <c r="H186" s="31"/>
      <c r="I186" s="31"/>
      <c r="J186" s="31"/>
      <c r="K186" s="31"/>
      <c r="L186" s="31"/>
      <c r="Q186" s="67"/>
      <c r="R186" s="67"/>
      <c r="S186" s="67"/>
      <c r="T186" s="67"/>
      <c r="U186" s="31"/>
      <c r="V186" s="31"/>
    </row>
    <row r="187" spans="1:22" ht="12.75" customHeight="1" x14ac:dyDescent="0.35">
      <c r="A187" s="87"/>
      <c r="B187" s="88"/>
      <c r="C187" s="88"/>
      <c r="D187" s="88"/>
      <c r="E187" s="88"/>
      <c r="F187" s="31"/>
      <c r="G187" s="31"/>
      <c r="H187" s="31"/>
      <c r="I187" s="31"/>
      <c r="J187" s="31"/>
      <c r="K187" s="31"/>
      <c r="L187" s="31"/>
      <c r="Q187" s="67"/>
      <c r="R187" s="67"/>
      <c r="S187" s="67"/>
      <c r="T187" s="67"/>
      <c r="U187" s="31"/>
      <c r="V187" s="31"/>
    </row>
    <row r="188" spans="1:22" ht="27.75" customHeight="1" x14ac:dyDescent="0.35">
      <c r="A188" s="87"/>
      <c r="B188" s="88"/>
      <c r="C188" s="88"/>
      <c r="D188" s="88"/>
      <c r="E188" s="88"/>
      <c r="F188" s="31"/>
      <c r="G188" s="31"/>
      <c r="H188" s="31"/>
      <c r="I188" s="31"/>
      <c r="J188" s="31"/>
      <c r="K188" s="31"/>
      <c r="L188" s="31"/>
      <c r="Q188" s="67"/>
      <c r="R188" s="67"/>
      <c r="S188" s="67"/>
      <c r="T188" s="67"/>
      <c r="U188" s="31"/>
      <c r="V188" s="31"/>
    </row>
    <row r="189" spans="1:22" ht="12.75" customHeight="1" x14ac:dyDescent="0.35">
      <c r="A189" s="87"/>
      <c r="B189" s="89"/>
      <c r="C189" s="88"/>
      <c r="D189" s="88"/>
      <c r="E189" s="88"/>
      <c r="F189" s="31"/>
      <c r="G189" s="31"/>
      <c r="H189" s="31"/>
      <c r="I189" s="31"/>
      <c r="J189" s="31"/>
      <c r="K189" s="31"/>
      <c r="L189" s="31"/>
      <c r="Q189" s="67"/>
      <c r="R189" s="67"/>
      <c r="S189" s="67"/>
      <c r="T189" s="67"/>
      <c r="U189" s="31"/>
      <c r="V189" s="31"/>
    </row>
    <row r="190" spans="1:22" ht="12.75" customHeight="1" x14ac:dyDescent="0.35">
      <c r="A190" s="87"/>
      <c r="B190" s="89"/>
      <c r="C190" s="88"/>
      <c r="D190" s="88"/>
      <c r="E190" s="88"/>
      <c r="F190" s="31"/>
      <c r="G190" s="31"/>
      <c r="H190" s="31"/>
      <c r="I190" s="31"/>
      <c r="J190" s="31"/>
      <c r="K190" s="31"/>
      <c r="L190" s="31"/>
      <c r="Q190" s="67"/>
      <c r="R190" s="67"/>
      <c r="S190" s="67"/>
      <c r="T190" s="67"/>
      <c r="U190" s="31"/>
      <c r="V190" s="31"/>
    </row>
    <row r="191" spans="1:22" ht="12.75" customHeight="1" x14ac:dyDescent="0.35">
      <c r="A191" s="87"/>
      <c r="B191" s="90"/>
      <c r="C191" s="91"/>
      <c r="D191" s="91"/>
      <c r="E191" s="92"/>
      <c r="F191" s="31"/>
      <c r="G191" s="31"/>
      <c r="H191" s="31"/>
      <c r="I191" s="31"/>
      <c r="J191" s="31"/>
      <c r="K191" s="31"/>
      <c r="L191" s="31"/>
      <c r="Q191" s="67"/>
      <c r="R191" s="67"/>
      <c r="S191" s="67"/>
      <c r="T191" s="67"/>
      <c r="U191" s="31"/>
      <c r="V191" s="31"/>
    </row>
    <row r="192" spans="1:22" ht="12.75" customHeight="1" x14ac:dyDescent="0.35">
      <c r="A192" s="87"/>
      <c r="B192" s="89"/>
      <c r="C192" s="88"/>
      <c r="D192" s="88"/>
      <c r="E192" s="92"/>
      <c r="F192" s="31"/>
      <c r="G192" s="31"/>
      <c r="H192" s="31"/>
      <c r="I192" s="31"/>
      <c r="J192" s="31"/>
      <c r="K192" s="31"/>
      <c r="L192" s="31"/>
      <c r="Q192" s="67"/>
      <c r="R192" s="67"/>
      <c r="S192" s="67"/>
      <c r="T192" s="67"/>
      <c r="U192" s="31"/>
      <c r="V192" s="31"/>
    </row>
    <row r="193" spans="1:22" ht="12.75" customHeight="1" x14ac:dyDescent="0.35">
      <c r="A193" s="87"/>
      <c r="B193" s="89"/>
      <c r="C193" s="88"/>
      <c r="D193" s="88"/>
      <c r="E193" s="88"/>
      <c r="F193" s="31"/>
      <c r="G193" s="31"/>
      <c r="H193" s="31"/>
      <c r="I193" s="31"/>
      <c r="J193" s="31"/>
      <c r="K193" s="31"/>
      <c r="L193" s="31"/>
      <c r="Q193" s="67"/>
      <c r="R193" s="67"/>
      <c r="S193" s="67"/>
      <c r="T193" s="67"/>
      <c r="U193" s="31"/>
      <c r="V193" s="31"/>
    </row>
    <row r="194" spans="1:22" ht="12.75" customHeight="1" x14ac:dyDescent="0.35">
      <c r="A194" s="87"/>
      <c r="B194" s="90"/>
      <c r="C194" s="91"/>
      <c r="D194" s="88"/>
      <c r="E194" s="93"/>
      <c r="F194" s="31"/>
      <c r="G194" s="31"/>
      <c r="H194" s="31"/>
      <c r="I194" s="31"/>
      <c r="J194" s="31"/>
      <c r="K194" s="31"/>
      <c r="L194" s="31"/>
      <c r="Q194" s="67"/>
      <c r="R194" s="67"/>
      <c r="S194" s="67"/>
      <c r="T194" s="67"/>
      <c r="U194" s="31"/>
      <c r="V194" s="31"/>
    </row>
    <row r="195" spans="1:22" ht="12.75" customHeight="1" x14ac:dyDescent="0.35">
      <c r="A195" s="87"/>
      <c r="B195" s="90"/>
      <c r="C195" s="91"/>
      <c r="D195" s="91"/>
      <c r="E195" s="93"/>
      <c r="F195" s="31"/>
      <c r="G195" s="31"/>
      <c r="H195" s="31"/>
      <c r="I195" s="31"/>
      <c r="J195" s="31"/>
      <c r="K195" s="31"/>
      <c r="L195" s="31"/>
      <c r="Q195" s="67"/>
      <c r="R195" s="67"/>
      <c r="S195" s="67"/>
      <c r="T195" s="67"/>
      <c r="U195" s="31"/>
      <c r="V195" s="31"/>
    </row>
    <row r="196" spans="1:22" ht="12.75" customHeight="1" x14ac:dyDescent="0.35">
      <c r="A196" s="87"/>
      <c r="B196" s="89"/>
      <c r="C196" s="91"/>
      <c r="D196" s="88"/>
      <c r="E196" s="93"/>
      <c r="F196" s="31"/>
      <c r="G196" s="31"/>
      <c r="H196" s="31"/>
      <c r="I196" s="31"/>
      <c r="J196" s="31"/>
      <c r="K196" s="31"/>
      <c r="L196" s="31"/>
      <c r="Q196" s="67"/>
      <c r="R196" s="67"/>
      <c r="S196" s="67"/>
      <c r="T196" s="67"/>
      <c r="U196" s="31"/>
      <c r="V196" s="31"/>
    </row>
    <row r="197" spans="1:22" ht="12.75" customHeight="1" x14ac:dyDescent="0.35">
      <c r="A197" s="87"/>
      <c r="B197" s="89"/>
      <c r="C197" s="88"/>
      <c r="D197" s="88"/>
      <c r="E197" s="93"/>
      <c r="F197" s="31"/>
      <c r="G197" s="31"/>
      <c r="H197" s="31"/>
      <c r="I197" s="31"/>
      <c r="J197" s="31"/>
      <c r="K197" s="31"/>
      <c r="L197" s="31"/>
      <c r="Q197" s="67"/>
      <c r="R197" s="67"/>
      <c r="S197" s="67"/>
      <c r="T197" s="67"/>
      <c r="U197" s="31"/>
      <c r="V197" s="31"/>
    </row>
    <row r="198" spans="1:22" ht="12.75" customHeight="1" x14ac:dyDescent="0.35">
      <c r="A198" s="87"/>
      <c r="B198" s="89"/>
      <c r="C198" s="88"/>
      <c r="D198" s="88"/>
      <c r="E198" s="93"/>
      <c r="F198" s="31"/>
      <c r="G198" s="31"/>
      <c r="H198" s="31"/>
      <c r="I198" s="31"/>
      <c r="J198" s="31"/>
      <c r="K198" s="31"/>
      <c r="L198" s="31"/>
      <c r="Q198" s="31"/>
      <c r="R198" s="31"/>
      <c r="S198" s="31"/>
      <c r="T198" s="31"/>
      <c r="U198" s="31"/>
      <c r="V198" s="31"/>
    </row>
    <row r="199" spans="1:22" ht="12.75" customHeight="1" x14ac:dyDescent="0.35">
      <c r="A199" s="87"/>
      <c r="B199" s="89"/>
      <c r="C199" s="88"/>
      <c r="D199" s="88"/>
      <c r="E199" s="93"/>
      <c r="F199" s="31"/>
      <c r="G199" s="31"/>
      <c r="H199" s="31"/>
      <c r="I199" s="31"/>
      <c r="J199" s="31"/>
      <c r="K199" s="31"/>
      <c r="L199" s="31"/>
      <c r="Q199" s="31"/>
      <c r="R199" s="31"/>
      <c r="S199" s="31"/>
      <c r="T199" s="31"/>
      <c r="U199" s="31"/>
      <c r="V199" s="31"/>
    </row>
    <row r="200" spans="1:22" ht="12.75" customHeight="1" x14ac:dyDescent="0.35">
      <c r="A200" s="87"/>
      <c r="B200" s="89"/>
      <c r="C200" s="88"/>
      <c r="D200" s="91"/>
      <c r="E200" s="93"/>
      <c r="F200" s="31"/>
      <c r="G200" s="31"/>
      <c r="H200" s="31"/>
      <c r="I200" s="31"/>
      <c r="J200" s="31"/>
      <c r="K200" s="31"/>
      <c r="L200" s="31"/>
      <c r="Q200" s="31"/>
      <c r="R200" s="31"/>
      <c r="S200" s="31"/>
      <c r="T200" s="31"/>
      <c r="U200" s="31"/>
      <c r="V200" s="31"/>
    </row>
    <row r="201" spans="1:22" ht="12.75" customHeight="1" x14ac:dyDescent="0.35">
      <c r="A201" s="87"/>
      <c r="B201" s="89"/>
      <c r="C201" s="88"/>
      <c r="D201" s="88"/>
      <c r="E201" s="93"/>
      <c r="F201" s="31"/>
      <c r="G201" s="31"/>
      <c r="H201" s="31"/>
      <c r="I201" s="31"/>
      <c r="J201" s="31"/>
      <c r="K201" s="31"/>
      <c r="L201" s="31"/>
      <c r="Q201" s="31"/>
      <c r="R201" s="31"/>
      <c r="S201" s="31"/>
      <c r="T201" s="31"/>
      <c r="U201" s="31"/>
      <c r="V201" s="31"/>
    </row>
    <row r="202" spans="1:22" ht="12.75" customHeight="1" x14ac:dyDescent="0.35">
      <c r="A202" s="87"/>
      <c r="B202" s="90"/>
      <c r="C202" s="93"/>
      <c r="D202" s="91"/>
      <c r="E202" s="93"/>
      <c r="F202" s="31"/>
      <c r="G202" s="31"/>
      <c r="H202" s="31"/>
      <c r="I202" s="31"/>
      <c r="J202" s="31"/>
      <c r="K202" s="31"/>
      <c r="L202" s="31"/>
      <c r="Q202" s="31"/>
      <c r="R202" s="31"/>
      <c r="S202" s="31"/>
      <c r="T202" s="31"/>
      <c r="U202" s="31"/>
      <c r="V202" s="31"/>
    </row>
    <row r="203" spans="1:22" ht="12.75" customHeight="1" x14ac:dyDescent="0.35">
      <c r="A203" s="87"/>
      <c r="B203" s="89"/>
      <c r="C203" s="88"/>
      <c r="D203" s="88"/>
      <c r="E203" s="93"/>
      <c r="F203" s="31"/>
      <c r="G203" s="31"/>
      <c r="H203" s="31"/>
      <c r="I203" s="31"/>
      <c r="J203" s="31"/>
      <c r="K203" s="31"/>
      <c r="L203" s="31"/>
      <c r="Q203" s="31"/>
      <c r="R203" s="31"/>
      <c r="S203" s="31"/>
      <c r="T203" s="31"/>
      <c r="U203" s="31"/>
      <c r="V203" s="31"/>
    </row>
    <row r="204" spans="1:22" ht="12.75" customHeight="1" x14ac:dyDescent="0.35">
      <c r="A204" s="87"/>
      <c r="B204" s="90"/>
      <c r="C204" s="91"/>
      <c r="D204" s="91"/>
      <c r="E204" s="93"/>
      <c r="F204" s="31"/>
      <c r="G204" s="31"/>
      <c r="H204" s="31"/>
      <c r="I204" s="31"/>
      <c r="J204" s="31"/>
      <c r="K204" s="31"/>
      <c r="L204" s="31"/>
      <c r="Q204" s="31"/>
      <c r="R204" s="31"/>
      <c r="S204" s="31"/>
      <c r="T204" s="31"/>
      <c r="U204" s="31"/>
      <c r="V204" s="31"/>
    </row>
    <row r="205" spans="1:22" ht="12.75" customHeight="1" x14ac:dyDescent="0.35">
      <c r="A205" s="87"/>
      <c r="B205" s="90"/>
      <c r="C205" s="91"/>
      <c r="D205" s="91"/>
      <c r="E205" s="93"/>
      <c r="F205" s="31"/>
      <c r="G205" s="31"/>
      <c r="H205" s="31"/>
      <c r="I205" s="31"/>
      <c r="J205" s="31"/>
      <c r="K205" s="31"/>
      <c r="L205" s="31"/>
      <c r="Q205" s="31"/>
      <c r="R205" s="31"/>
      <c r="S205" s="31"/>
      <c r="T205" s="31"/>
      <c r="U205" s="31"/>
      <c r="V205" s="31"/>
    </row>
    <row r="206" spans="1:22" ht="12.75" customHeight="1" x14ac:dyDescent="0.35">
      <c r="A206" s="87"/>
      <c r="B206" s="89"/>
      <c r="C206" s="91"/>
      <c r="D206" s="88"/>
      <c r="E206" s="93"/>
      <c r="F206" s="31"/>
      <c r="G206" s="31"/>
      <c r="H206" s="31"/>
      <c r="I206" s="31"/>
      <c r="J206" s="31"/>
      <c r="K206" s="31"/>
      <c r="L206" s="31"/>
      <c r="Q206" s="31"/>
      <c r="R206" s="31"/>
      <c r="S206" s="31"/>
      <c r="T206" s="31"/>
      <c r="U206" s="31"/>
      <c r="V206" s="31"/>
    </row>
    <row r="207" spans="1:22" ht="12.75" customHeight="1" x14ac:dyDescent="0.35">
      <c r="A207" s="87"/>
      <c r="B207" s="90"/>
      <c r="C207" s="91"/>
      <c r="D207" s="88"/>
      <c r="E207" s="93"/>
      <c r="F207" s="31"/>
      <c r="G207" s="31"/>
      <c r="H207" s="31"/>
      <c r="I207" s="31"/>
      <c r="J207" s="31"/>
      <c r="K207" s="31"/>
      <c r="L207" s="31"/>
      <c r="Q207" s="31"/>
      <c r="R207" s="31"/>
      <c r="S207" s="31"/>
      <c r="T207" s="31"/>
      <c r="U207" s="31"/>
      <c r="V207" s="31"/>
    </row>
    <row r="208" spans="1:22" ht="12.75" customHeight="1" x14ac:dyDescent="0.35">
      <c r="A208" s="87"/>
      <c r="B208" s="89"/>
      <c r="C208" s="91"/>
      <c r="D208" s="88"/>
      <c r="E208" s="88"/>
      <c r="F208" s="31"/>
      <c r="G208" s="31"/>
      <c r="H208" s="31"/>
      <c r="I208" s="31"/>
      <c r="J208" s="31"/>
      <c r="K208" s="31"/>
      <c r="L208" s="31"/>
      <c r="Q208" s="31"/>
      <c r="R208" s="31"/>
      <c r="S208" s="31"/>
      <c r="T208" s="31"/>
      <c r="U208" s="31"/>
      <c r="V208" s="31"/>
    </row>
    <row r="209" spans="1:22" ht="12.75" customHeight="1" x14ac:dyDescent="0.35">
      <c r="A209" s="87"/>
      <c r="B209" s="89"/>
      <c r="C209" s="88"/>
      <c r="D209" s="94"/>
      <c r="E209" s="93"/>
      <c r="F209" s="31"/>
      <c r="G209" s="31"/>
      <c r="H209" s="31"/>
      <c r="I209" s="31"/>
      <c r="J209" s="31"/>
      <c r="K209" s="31"/>
      <c r="L209" s="31"/>
      <c r="Q209" s="31"/>
      <c r="R209" s="31"/>
      <c r="S209" s="31"/>
      <c r="T209" s="31"/>
      <c r="U209" s="31"/>
      <c r="V209" s="31"/>
    </row>
    <row r="210" spans="1:22" ht="12.75" customHeight="1" x14ac:dyDescent="0.35">
      <c r="A210" s="87"/>
      <c r="B210" s="89"/>
      <c r="C210" s="88"/>
      <c r="D210" s="94"/>
      <c r="E210" s="93"/>
      <c r="F210" s="31"/>
      <c r="G210" s="31"/>
      <c r="H210" s="31"/>
      <c r="I210" s="31"/>
      <c r="J210" s="31"/>
      <c r="K210" s="31"/>
      <c r="L210" s="31"/>
      <c r="Q210" s="31"/>
      <c r="R210" s="31"/>
      <c r="S210" s="31"/>
      <c r="T210" s="31"/>
      <c r="U210" s="31"/>
      <c r="V210" s="31"/>
    </row>
    <row r="211" spans="1:22" ht="12.75" customHeight="1" x14ac:dyDescent="0.35">
      <c r="A211" s="31"/>
      <c r="B211" s="89"/>
      <c r="C211" s="88"/>
      <c r="D211" s="94"/>
      <c r="E211" s="93"/>
      <c r="F211" s="31"/>
      <c r="G211" s="31"/>
      <c r="H211" s="31"/>
      <c r="I211" s="31"/>
      <c r="J211" s="31"/>
      <c r="K211" s="31"/>
      <c r="L211" s="31"/>
      <c r="Q211" s="31"/>
      <c r="R211" s="31"/>
      <c r="S211" s="31"/>
      <c r="T211" s="31"/>
      <c r="U211" s="31"/>
      <c r="V211" s="31"/>
    </row>
    <row r="212" spans="1:22" ht="12.75" customHeight="1" x14ac:dyDescent="0.35">
      <c r="A212" s="31"/>
      <c r="B212" s="89"/>
      <c r="C212" s="88"/>
      <c r="D212" s="94"/>
      <c r="E212" s="93"/>
      <c r="F212" s="31"/>
      <c r="G212" s="31"/>
      <c r="H212" s="31"/>
      <c r="I212" s="31"/>
      <c r="J212" s="31"/>
      <c r="K212" s="31"/>
      <c r="L212" s="31"/>
      <c r="Q212" s="31"/>
      <c r="R212" s="31"/>
      <c r="S212" s="31"/>
      <c r="T212" s="31"/>
      <c r="U212" s="31"/>
      <c r="V212" s="31"/>
    </row>
    <row r="213" spans="1:22" ht="12.75" customHeight="1" x14ac:dyDescent="0.35">
      <c r="A213" s="31"/>
      <c r="B213" s="89"/>
      <c r="C213" s="88"/>
      <c r="D213" s="94"/>
      <c r="E213" s="93"/>
      <c r="F213" s="31"/>
      <c r="G213" s="31"/>
      <c r="H213" s="31"/>
      <c r="I213" s="31"/>
      <c r="J213" s="31"/>
      <c r="K213" s="31"/>
      <c r="L213" s="31"/>
      <c r="Q213" s="31"/>
      <c r="R213" s="31"/>
      <c r="S213" s="31"/>
      <c r="T213" s="31"/>
      <c r="U213" s="31"/>
      <c r="V213" s="31"/>
    </row>
    <row r="214" spans="1:22" ht="12.75" customHeight="1" x14ac:dyDescent="0.35">
      <c r="A214" s="31"/>
      <c r="B214" s="89"/>
      <c r="C214" s="88"/>
      <c r="D214" s="94"/>
      <c r="E214" s="93"/>
      <c r="F214" s="31"/>
      <c r="G214" s="31"/>
      <c r="H214" s="31"/>
      <c r="I214" s="31"/>
      <c r="J214" s="31"/>
      <c r="K214" s="31"/>
      <c r="L214" s="31"/>
      <c r="Q214" s="31"/>
      <c r="R214" s="31"/>
      <c r="S214" s="31"/>
      <c r="T214" s="31"/>
      <c r="U214" s="31"/>
      <c r="V214" s="31"/>
    </row>
    <row r="215" spans="1:22" ht="12.75" customHeight="1" x14ac:dyDescent="0.35">
      <c r="A215" s="31"/>
      <c r="B215" s="89"/>
      <c r="C215" s="88"/>
      <c r="D215" s="94"/>
      <c r="E215" s="93"/>
      <c r="F215" s="31"/>
      <c r="G215" s="31"/>
      <c r="H215" s="31"/>
      <c r="I215" s="31"/>
      <c r="J215" s="31"/>
      <c r="K215" s="31"/>
      <c r="L215" s="31"/>
      <c r="Q215" s="31"/>
      <c r="R215" s="31"/>
      <c r="S215" s="31"/>
      <c r="T215" s="31"/>
      <c r="U215" s="31"/>
      <c r="V215" s="31"/>
    </row>
    <row r="216" spans="1:22" ht="12.75" customHeight="1" x14ac:dyDescent="0.35">
      <c r="A216" s="31"/>
      <c r="B216" s="89"/>
      <c r="C216" s="88"/>
      <c r="D216" s="94"/>
      <c r="E216" s="93"/>
      <c r="F216" s="31"/>
      <c r="G216" s="31"/>
      <c r="H216" s="31"/>
      <c r="I216" s="31"/>
      <c r="J216" s="31"/>
      <c r="K216" s="31"/>
      <c r="L216" s="31"/>
      <c r="Q216" s="31"/>
      <c r="R216" s="31"/>
      <c r="S216" s="31"/>
      <c r="T216" s="31"/>
      <c r="U216" s="31"/>
      <c r="V216" s="31"/>
    </row>
    <row r="217" spans="1:22" ht="12.75" customHeight="1" x14ac:dyDescent="0.35">
      <c r="A217" s="31"/>
      <c r="B217" s="89"/>
      <c r="C217" s="88"/>
      <c r="D217" s="94"/>
      <c r="E217" s="93"/>
      <c r="F217" s="31"/>
      <c r="G217" s="31"/>
      <c r="H217" s="31"/>
      <c r="I217" s="31"/>
      <c r="J217" s="31"/>
      <c r="K217" s="31"/>
      <c r="L217" s="31"/>
      <c r="Q217" s="31"/>
      <c r="R217" s="31"/>
      <c r="S217" s="31"/>
      <c r="T217" s="31"/>
      <c r="U217" s="31"/>
      <c r="V217" s="31"/>
    </row>
    <row r="218" spans="1:22" ht="12.75" customHeight="1" x14ac:dyDescent="0.35">
      <c r="A218" s="31"/>
      <c r="B218" s="89"/>
      <c r="C218" s="88"/>
      <c r="D218" s="94"/>
      <c r="E218" s="93"/>
      <c r="F218" s="31"/>
      <c r="G218" s="31"/>
      <c r="H218" s="31"/>
      <c r="I218" s="31"/>
      <c r="J218" s="31"/>
      <c r="K218" s="31"/>
      <c r="L218" s="31"/>
      <c r="Q218" s="31"/>
      <c r="R218" s="31"/>
      <c r="S218" s="31"/>
      <c r="T218" s="31"/>
      <c r="U218" s="31"/>
      <c r="V218" s="31"/>
    </row>
    <row r="219" spans="1:22" ht="12.75" customHeight="1" x14ac:dyDescent="0.35">
      <c r="A219" s="31"/>
      <c r="B219" s="89"/>
      <c r="C219" s="88"/>
      <c r="D219" s="94"/>
      <c r="E219" s="93"/>
      <c r="F219" s="31"/>
      <c r="G219" s="31"/>
      <c r="H219" s="31"/>
      <c r="I219" s="31"/>
      <c r="J219" s="31"/>
      <c r="K219" s="31"/>
      <c r="L219" s="31"/>
      <c r="Q219" s="31"/>
      <c r="R219" s="31"/>
      <c r="S219" s="31"/>
      <c r="T219" s="31"/>
      <c r="U219" s="31"/>
      <c r="V219" s="31"/>
    </row>
    <row r="220" spans="1:22" ht="12.75" customHeight="1" x14ac:dyDescent="0.35">
      <c r="A220" s="31"/>
      <c r="B220" s="89"/>
      <c r="C220" s="88"/>
      <c r="D220" s="94"/>
      <c r="E220" s="93"/>
      <c r="F220" s="31"/>
      <c r="G220" s="31"/>
      <c r="H220" s="31"/>
      <c r="I220" s="31"/>
      <c r="J220" s="31"/>
      <c r="K220" s="31"/>
      <c r="L220" s="31"/>
      <c r="Q220" s="31"/>
      <c r="R220" s="31"/>
      <c r="S220" s="31"/>
      <c r="T220" s="31"/>
      <c r="U220" s="31"/>
      <c r="V220" s="31"/>
    </row>
    <row r="221" spans="1:22" ht="12.75" customHeight="1" x14ac:dyDescent="0.35">
      <c r="A221" s="31"/>
      <c r="B221" s="31"/>
      <c r="C221" s="31"/>
      <c r="D221" s="31"/>
      <c r="E221" s="31"/>
      <c r="F221" s="31"/>
      <c r="G221" s="31"/>
      <c r="H221" s="31"/>
      <c r="I221" s="31"/>
      <c r="J221" s="31"/>
      <c r="K221" s="31"/>
      <c r="L221" s="31"/>
      <c r="Q221" s="31"/>
      <c r="R221" s="31"/>
      <c r="S221" s="31"/>
      <c r="T221" s="31"/>
      <c r="U221" s="31"/>
      <c r="V221" s="31"/>
    </row>
    <row r="222" spans="1:22" ht="12.75" customHeight="1" x14ac:dyDescent="0.35">
      <c r="A222" s="31"/>
      <c r="B222" s="31"/>
      <c r="C222" s="31"/>
      <c r="D222" s="31"/>
      <c r="E222" s="31"/>
      <c r="F222" s="31"/>
      <c r="G222" s="31"/>
      <c r="H222" s="31"/>
      <c r="I222" s="31"/>
      <c r="J222" s="31"/>
      <c r="K222" s="31"/>
      <c r="L222" s="31"/>
      <c r="Q222" s="31"/>
      <c r="R222" s="31"/>
      <c r="S222" s="31"/>
      <c r="T222" s="31"/>
      <c r="U222" s="31"/>
      <c r="V222" s="31"/>
    </row>
    <row r="223" spans="1:22" ht="12.75" customHeight="1" x14ac:dyDescent="0.35">
      <c r="A223" s="31"/>
      <c r="B223" s="31"/>
      <c r="C223" s="31"/>
      <c r="D223" s="31"/>
      <c r="E223" s="31"/>
      <c r="F223" s="31"/>
      <c r="G223" s="31"/>
      <c r="H223" s="31"/>
      <c r="I223" s="31"/>
      <c r="J223" s="31"/>
      <c r="K223" s="31"/>
      <c r="L223" s="31"/>
      <c r="Q223" s="31"/>
      <c r="R223" s="31"/>
      <c r="S223" s="31"/>
      <c r="T223" s="31"/>
      <c r="U223" s="31"/>
      <c r="V223" s="31"/>
    </row>
    <row r="224" spans="1:22" ht="12.75" customHeight="1" x14ac:dyDescent="0.35">
      <c r="A224" s="31"/>
      <c r="B224" s="31"/>
      <c r="C224" s="31"/>
      <c r="D224" s="31"/>
      <c r="E224" s="31"/>
      <c r="F224" s="31"/>
      <c r="G224" s="31"/>
      <c r="H224" s="31"/>
      <c r="I224" s="31"/>
      <c r="J224" s="31"/>
      <c r="K224" s="31"/>
      <c r="L224" s="31"/>
      <c r="Q224" s="31"/>
      <c r="R224" s="31"/>
      <c r="S224" s="31"/>
      <c r="T224" s="31"/>
      <c r="U224" s="31"/>
      <c r="V224" s="31"/>
    </row>
    <row r="225" spans="1:22" ht="12.75" customHeight="1" x14ac:dyDescent="0.35">
      <c r="A225" s="31"/>
      <c r="B225" s="31"/>
      <c r="C225" s="31"/>
      <c r="D225" s="31"/>
      <c r="E225" s="31"/>
      <c r="F225" s="31"/>
      <c r="G225" s="31"/>
      <c r="H225" s="31"/>
      <c r="I225" s="31"/>
      <c r="J225" s="31"/>
      <c r="K225" s="31"/>
      <c r="L225" s="31"/>
      <c r="Q225" s="31"/>
      <c r="R225" s="31"/>
      <c r="S225" s="31"/>
      <c r="T225" s="31"/>
      <c r="U225" s="31"/>
      <c r="V225" s="31"/>
    </row>
    <row r="226" spans="1:22" ht="12.75" customHeight="1" x14ac:dyDescent="0.35">
      <c r="A226" s="31"/>
      <c r="B226" s="31"/>
      <c r="C226" s="31"/>
      <c r="D226" s="31"/>
      <c r="E226" s="31"/>
      <c r="F226" s="31"/>
      <c r="G226" s="31"/>
      <c r="H226" s="31"/>
      <c r="I226" s="31"/>
      <c r="J226" s="31"/>
      <c r="K226" s="31"/>
      <c r="L226" s="31"/>
      <c r="Q226" s="31"/>
      <c r="R226" s="31"/>
      <c r="S226" s="31"/>
      <c r="T226" s="31"/>
      <c r="U226" s="31"/>
      <c r="V226" s="31"/>
    </row>
    <row r="227" spans="1:22" ht="12.75" customHeight="1" x14ac:dyDescent="0.35">
      <c r="A227" s="31"/>
      <c r="B227" s="31"/>
      <c r="C227" s="31"/>
      <c r="D227" s="31"/>
      <c r="E227" s="31"/>
      <c r="F227" s="31"/>
      <c r="G227" s="31"/>
      <c r="H227" s="31"/>
      <c r="I227" s="31"/>
      <c r="J227" s="31"/>
      <c r="K227" s="31"/>
      <c r="L227" s="31"/>
      <c r="Q227" s="31"/>
      <c r="R227" s="31"/>
      <c r="S227" s="31"/>
      <c r="T227" s="31"/>
      <c r="U227" s="31"/>
      <c r="V227" s="31"/>
    </row>
    <row r="228" spans="1:22" ht="12.75" customHeight="1" x14ac:dyDescent="0.35">
      <c r="A228" s="31"/>
      <c r="B228" s="31"/>
      <c r="C228" s="31"/>
      <c r="D228" s="31"/>
      <c r="E228" s="31"/>
      <c r="F228" s="31"/>
      <c r="G228" s="31"/>
      <c r="H228" s="31"/>
      <c r="I228" s="31"/>
      <c r="J228" s="31"/>
      <c r="K228" s="31"/>
      <c r="L228" s="31"/>
      <c r="Q228" s="31"/>
      <c r="R228" s="31"/>
      <c r="S228" s="31"/>
      <c r="T228" s="31"/>
      <c r="U228" s="31"/>
      <c r="V228" s="31"/>
    </row>
    <row r="229" spans="1:22" ht="12.75" customHeight="1" x14ac:dyDescent="0.35">
      <c r="A229" s="31"/>
      <c r="B229" s="31"/>
      <c r="C229" s="31"/>
      <c r="D229" s="31"/>
      <c r="E229" s="31"/>
      <c r="F229" s="31"/>
      <c r="G229" s="31"/>
      <c r="H229" s="31"/>
      <c r="I229" s="31"/>
      <c r="J229" s="31"/>
      <c r="K229" s="31"/>
      <c r="L229" s="31"/>
      <c r="Q229" s="31"/>
      <c r="R229" s="31"/>
      <c r="S229" s="31"/>
      <c r="T229" s="31"/>
      <c r="U229" s="31"/>
      <c r="V229" s="31"/>
    </row>
    <row r="230" spans="1:22" ht="12.75" customHeight="1" x14ac:dyDescent="0.35">
      <c r="A230" s="31"/>
      <c r="B230" s="31"/>
      <c r="C230" s="31"/>
      <c r="D230" s="31"/>
      <c r="E230" s="31"/>
      <c r="F230" s="31"/>
      <c r="G230" s="31"/>
      <c r="H230" s="31"/>
      <c r="I230" s="31"/>
      <c r="J230" s="31"/>
      <c r="K230" s="31"/>
      <c r="L230" s="31"/>
      <c r="Q230" s="31"/>
      <c r="R230" s="31"/>
      <c r="S230" s="31"/>
      <c r="T230" s="31"/>
      <c r="U230" s="31"/>
      <c r="V230" s="31"/>
    </row>
    <row r="231" spans="1:22" ht="12.75" customHeight="1" x14ac:dyDescent="0.35">
      <c r="A231" s="31"/>
      <c r="B231" s="31"/>
      <c r="C231" s="31"/>
      <c r="D231" s="31"/>
      <c r="E231" s="31"/>
      <c r="F231" s="31"/>
      <c r="G231" s="31"/>
      <c r="H231" s="31"/>
      <c r="I231" s="31"/>
      <c r="J231" s="31"/>
      <c r="K231" s="31"/>
      <c r="L231" s="31"/>
      <c r="Q231" s="31"/>
      <c r="R231" s="31"/>
      <c r="S231" s="31"/>
      <c r="T231" s="31"/>
      <c r="U231" s="31"/>
      <c r="V231" s="31"/>
    </row>
    <row r="232" spans="1:22" ht="12.75" customHeight="1" x14ac:dyDescent="0.35">
      <c r="A232" s="31"/>
      <c r="B232" s="31"/>
      <c r="C232" s="31"/>
      <c r="D232" s="31"/>
      <c r="E232" s="31"/>
      <c r="F232" s="31"/>
      <c r="G232" s="31"/>
      <c r="H232" s="31"/>
      <c r="I232" s="31"/>
      <c r="J232" s="31"/>
      <c r="K232" s="31"/>
      <c r="L232" s="31"/>
      <c r="Q232" s="31"/>
      <c r="R232" s="31"/>
      <c r="S232" s="31"/>
      <c r="T232" s="31"/>
      <c r="U232" s="31"/>
      <c r="V232" s="31"/>
    </row>
    <row r="233" spans="1:22" ht="12.75" customHeight="1" x14ac:dyDescent="0.35">
      <c r="A233" s="31"/>
      <c r="B233" s="31"/>
      <c r="C233" s="31"/>
      <c r="D233" s="31"/>
      <c r="E233" s="31"/>
      <c r="F233" s="31"/>
      <c r="G233" s="31"/>
      <c r="H233" s="31"/>
      <c r="I233" s="31"/>
      <c r="J233" s="31"/>
      <c r="K233" s="31"/>
      <c r="L233" s="31"/>
      <c r="Q233" s="31"/>
      <c r="R233" s="31"/>
      <c r="S233" s="31"/>
      <c r="T233" s="31"/>
      <c r="U233" s="31"/>
      <c r="V233" s="31"/>
    </row>
    <row r="234" spans="1:22" ht="12.75" customHeight="1" x14ac:dyDescent="0.35">
      <c r="A234" s="31"/>
      <c r="B234" s="31"/>
      <c r="C234" s="31"/>
      <c r="D234" s="31"/>
      <c r="E234" s="31"/>
      <c r="F234" s="31"/>
      <c r="G234" s="31"/>
      <c r="H234" s="31"/>
      <c r="I234" s="31"/>
      <c r="J234" s="31"/>
      <c r="K234" s="31"/>
      <c r="L234" s="31"/>
      <c r="Q234" s="31"/>
      <c r="R234" s="31"/>
      <c r="S234" s="31"/>
      <c r="T234" s="31"/>
      <c r="U234" s="31"/>
      <c r="V234" s="31"/>
    </row>
    <row r="235" spans="1:22" ht="12.75" customHeight="1" x14ac:dyDescent="0.35">
      <c r="A235" s="31"/>
      <c r="B235" s="31"/>
      <c r="C235" s="31"/>
      <c r="D235" s="31"/>
      <c r="E235" s="31"/>
      <c r="F235" s="31"/>
      <c r="G235" s="31"/>
      <c r="H235" s="31"/>
      <c r="I235" s="31"/>
      <c r="J235" s="31"/>
      <c r="K235" s="31"/>
      <c r="L235" s="31"/>
      <c r="Q235" s="31"/>
      <c r="R235" s="31"/>
      <c r="S235" s="31"/>
      <c r="T235" s="31"/>
      <c r="U235" s="31"/>
      <c r="V235" s="31"/>
    </row>
    <row r="236" spans="1:22" ht="12.75" customHeight="1" x14ac:dyDescent="0.35">
      <c r="A236" s="31"/>
      <c r="B236" s="31"/>
      <c r="C236" s="31"/>
      <c r="D236" s="31"/>
      <c r="E236" s="31"/>
      <c r="F236" s="31"/>
      <c r="G236" s="31"/>
      <c r="H236" s="31"/>
      <c r="I236" s="31"/>
      <c r="J236" s="31"/>
      <c r="K236" s="31"/>
      <c r="L236" s="31"/>
      <c r="Q236" s="31"/>
      <c r="R236" s="31"/>
      <c r="S236" s="31"/>
      <c r="T236" s="31"/>
      <c r="U236" s="31"/>
      <c r="V236" s="31"/>
    </row>
    <row r="237" spans="1:22" ht="12.75" customHeight="1" x14ac:dyDescent="0.35">
      <c r="A237" s="31"/>
      <c r="B237" s="31"/>
      <c r="C237" s="31"/>
      <c r="D237" s="31"/>
      <c r="E237" s="31"/>
      <c r="F237" s="31"/>
      <c r="G237" s="31"/>
      <c r="H237" s="31"/>
      <c r="I237" s="31"/>
      <c r="J237" s="31"/>
      <c r="K237" s="31"/>
      <c r="L237" s="31"/>
      <c r="Q237" s="31"/>
      <c r="R237" s="31"/>
      <c r="S237" s="31"/>
      <c r="T237" s="31"/>
      <c r="U237" s="31"/>
      <c r="V237" s="31"/>
    </row>
    <row r="238" spans="1:22" ht="12.75" customHeight="1" x14ac:dyDescent="0.35">
      <c r="A238" s="31"/>
      <c r="B238" s="31"/>
      <c r="C238" s="31"/>
      <c r="D238" s="31"/>
      <c r="E238" s="31"/>
      <c r="F238" s="31"/>
      <c r="G238" s="31"/>
      <c r="H238" s="31"/>
      <c r="I238" s="31"/>
      <c r="J238" s="31"/>
      <c r="K238" s="31"/>
      <c r="L238" s="31"/>
      <c r="Q238" s="31"/>
      <c r="R238" s="31"/>
      <c r="S238" s="31"/>
      <c r="T238" s="31"/>
      <c r="U238" s="31"/>
      <c r="V238" s="31"/>
    </row>
    <row r="239" spans="1:22" ht="12.75" customHeight="1" x14ac:dyDescent="0.35">
      <c r="A239" s="31"/>
      <c r="B239" s="31"/>
      <c r="C239" s="31"/>
      <c r="D239" s="31"/>
      <c r="E239" s="31"/>
      <c r="F239" s="31"/>
      <c r="G239" s="31"/>
      <c r="H239" s="31"/>
      <c r="I239" s="31"/>
      <c r="J239" s="31"/>
      <c r="K239" s="31"/>
      <c r="L239" s="31"/>
      <c r="Q239" s="31"/>
      <c r="R239" s="31"/>
      <c r="S239" s="31"/>
      <c r="T239" s="31"/>
      <c r="U239" s="31"/>
      <c r="V239" s="31"/>
    </row>
    <row r="240" spans="1:22" ht="12.75" customHeight="1" x14ac:dyDescent="0.35">
      <c r="A240" s="31"/>
      <c r="B240" s="31"/>
      <c r="C240" s="31"/>
      <c r="D240" s="31"/>
      <c r="E240" s="31"/>
      <c r="F240" s="31"/>
      <c r="G240" s="31"/>
      <c r="H240" s="31"/>
      <c r="I240" s="31"/>
      <c r="J240" s="31"/>
      <c r="K240" s="31"/>
      <c r="L240" s="31"/>
      <c r="Q240" s="31"/>
      <c r="R240" s="31"/>
      <c r="S240" s="31"/>
      <c r="T240" s="31"/>
      <c r="U240" s="31"/>
      <c r="V240" s="31"/>
    </row>
    <row r="241" spans="1:22" ht="12.75" customHeight="1" x14ac:dyDescent="0.35">
      <c r="A241" s="31"/>
      <c r="B241" s="31"/>
      <c r="C241" s="31"/>
      <c r="D241" s="31"/>
      <c r="E241" s="31"/>
      <c r="F241" s="31"/>
      <c r="G241" s="31"/>
      <c r="H241" s="31"/>
      <c r="I241" s="31"/>
      <c r="J241" s="31"/>
      <c r="K241" s="31"/>
      <c r="L241" s="31"/>
      <c r="Q241" s="31"/>
      <c r="R241" s="31"/>
      <c r="S241" s="31"/>
      <c r="T241" s="31"/>
      <c r="U241" s="31"/>
      <c r="V241" s="31"/>
    </row>
    <row r="242" spans="1:22" ht="12.75" customHeight="1" x14ac:dyDescent="0.35">
      <c r="A242" s="31"/>
      <c r="B242" s="31"/>
      <c r="C242" s="31"/>
      <c r="D242" s="31"/>
      <c r="E242" s="31"/>
      <c r="F242" s="31"/>
      <c r="G242" s="31"/>
      <c r="H242" s="31"/>
      <c r="I242" s="31"/>
      <c r="J242" s="31"/>
      <c r="K242" s="31"/>
      <c r="L242" s="31"/>
      <c r="Q242" s="31"/>
      <c r="R242" s="31"/>
      <c r="S242" s="31"/>
      <c r="T242" s="31"/>
      <c r="U242" s="31"/>
      <c r="V242" s="31"/>
    </row>
    <row r="243" spans="1:22" ht="12.75" customHeight="1" x14ac:dyDescent="0.35">
      <c r="A243" s="31"/>
      <c r="B243" s="31"/>
      <c r="C243" s="31"/>
      <c r="D243" s="31"/>
      <c r="E243" s="31"/>
      <c r="F243" s="31"/>
      <c r="G243" s="31"/>
      <c r="H243" s="31"/>
      <c r="I243" s="31"/>
      <c r="J243" s="31"/>
      <c r="K243" s="31"/>
      <c r="L243" s="31"/>
      <c r="Q243" s="31"/>
      <c r="R243" s="31"/>
      <c r="S243" s="31"/>
      <c r="T243" s="31"/>
      <c r="U243" s="31"/>
      <c r="V243" s="31"/>
    </row>
    <row r="244" spans="1:22" ht="12.75" customHeight="1" x14ac:dyDescent="0.35">
      <c r="A244" s="31"/>
      <c r="B244" s="31"/>
      <c r="C244" s="31"/>
      <c r="D244" s="31"/>
      <c r="E244" s="31"/>
      <c r="F244" s="31"/>
      <c r="G244" s="31"/>
      <c r="H244" s="31"/>
      <c r="I244" s="31"/>
      <c r="J244" s="31"/>
      <c r="K244" s="31"/>
      <c r="L244" s="31"/>
      <c r="Q244" s="31"/>
      <c r="R244" s="31"/>
      <c r="S244" s="31"/>
      <c r="T244" s="31"/>
      <c r="U244" s="31"/>
      <c r="V244" s="31"/>
    </row>
    <row r="245" spans="1:22" ht="12.75" customHeight="1" x14ac:dyDescent="0.35">
      <c r="A245" s="31"/>
      <c r="B245" s="31"/>
      <c r="C245" s="31"/>
      <c r="D245" s="31"/>
      <c r="E245" s="31"/>
      <c r="F245" s="31"/>
      <c r="G245" s="31"/>
      <c r="H245" s="31"/>
      <c r="I245" s="31"/>
      <c r="J245" s="31"/>
      <c r="K245" s="31"/>
      <c r="L245" s="31"/>
      <c r="Q245" s="31"/>
      <c r="R245" s="31"/>
      <c r="S245" s="31"/>
      <c r="T245" s="31"/>
      <c r="U245" s="31"/>
      <c r="V245" s="31"/>
    </row>
    <row r="246" spans="1:22" ht="12.75" customHeight="1" x14ac:dyDescent="0.35">
      <c r="A246" s="31"/>
      <c r="B246" s="31"/>
      <c r="C246" s="31"/>
      <c r="D246" s="31"/>
      <c r="E246" s="31"/>
      <c r="F246" s="31"/>
      <c r="G246" s="31"/>
      <c r="H246" s="31"/>
      <c r="I246" s="31"/>
      <c r="J246" s="31"/>
      <c r="K246" s="31"/>
      <c r="L246" s="31"/>
      <c r="Q246" s="31"/>
      <c r="R246" s="31"/>
      <c r="S246" s="31"/>
      <c r="T246" s="31"/>
      <c r="U246" s="31"/>
      <c r="V246" s="31"/>
    </row>
    <row r="247" spans="1:22" ht="12.75" customHeight="1" x14ac:dyDescent="0.35">
      <c r="A247" s="31"/>
      <c r="B247" s="31"/>
      <c r="C247" s="31"/>
      <c r="D247" s="31"/>
      <c r="E247" s="31"/>
      <c r="F247" s="31"/>
      <c r="G247" s="31"/>
      <c r="H247" s="31"/>
      <c r="I247" s="31"/>
      <c r="J247" s="31"/>
      <c r="K247" s="31"/>
      <c r="L247" s="31"/>
      <c r="Q247" s="31"/>
      <c r="R247" s="31"/>
      <c r="S247" s="31"/>
      <c r="T247" s="31"/>
      <c r="U247" s="31"/>
      <c r="V247" s="31"/>
    </row>
    <row r="248" spans="1:22" ht="12.75" customHeight="1" x14ac:dyDescent="0.35">
      <c r="A248" s="31"/>
      <c r="B248" s="31"/>
      <c r="C248" s="31"/>
      <c r="D248" s="31"/>
      <c r="E248" s="31"/>
      <c r="F248" s="31"/>
      <c r="G248" s="31"/>
      <c r="H248" s="31"/>
      <c r="I248" s="31"/>
      <c r="J248" s="31"/>
      <c r="K248" s="31"/>
      <c r="L248" s="31"/>
      <c r="Q248" s="31"/>
      <c r="R248" s="31"/>
      <c r="S248" s="31"/>
      <c r="T248" s="31"/>
      <c r="U248" s="31"/>
      <c r="V248" s="31"/>
    </row>
    <row r="249" spans="1:22" ht="12.75" customHeight="1" x14ac:dyDescent="0.35">
      <c r="A249" s="31"/>
      <c r="B249" s="31"/>
      <c r="C249" s="31"/>
      <c r="D249" s="31"/>
      <c r="E249" s="31"/>
      <c r="F249" s="31"/>
      <c r="G249" s="31"/>
      <c r="H249" s="31"/>
      <c r="I249" s="31"/>
      <c r="J249" s="31"/>
      <c r="K249" s="31"/>
      <c r="L249" s="31"/>
      <c r="Q249" s="31"/>
      <c r="R249" s="31"/>
      <c r="S249" s="31"/>
      <c r="T249" s="31"/>
      <c r="U249" s="31"/>
      <c r="V249" s="31"/>
    </row>
    <row r="250" spans="1:22" ht="12.75" customHeight="1" x14ac:dyDescent="0.35">
      <c r="A250" s="31"/>
      <c r="B250" s="31"/>
      <c r="C250" s="31"/>
      <c r="D250" s="31"/>
      <c r="E250" s="31"/>
      <c r="F250" s="31"/>
      <c r="G250" s="31"/>
      <c r="H250" s="31"/>
      <c r="I250" s="31"/>
      <c r="J250" s="31"/>
      <c r="K250" s="31"/>
      <c r="L250" s="31"/>
      <c r="Q250" s="31"/>
      <c r="R250" s="31"/>
      <c r="S250" s="31"/>
      <c r="T250" s="31"/>
      <c r="U250" s="31"/>
      <c r="V250" s="31"/>
    </row>
    <row r="251" spans="1:22" ht="12.75" customHeight="1" x14ac:dyDescent="0.35">
      <c r="A251" s="31"/>
      <c r="B251" s="31"/>
      <c r="C251" s="31"/>
      <c r="D251" s="31"/>
      <c r="E251" s="31"/>
      <c r="F251" s="31"/>
      <c r="G251" s="31"/>
      <c r="H251" s="31"/>
      <c r="I251" s="31"/>
      <c r="J251" s="31"/>
      <c r="K251" s="31"/>
      <c r="L251" s="31"/>
      <c r="Q251" s="31"/>
      <c r="R251" s="31"/>
      <c r="S251" s="31"/>
      <c r="T251" s="31"/>
      <c r="U251" s="31"/>
      <c r="V251" s="31"/>
    </row>
    <row r="252" spans="1:22" ht="12.75" customHeight="1" x14ac:dyDescent="0.35">
      <c r="A252" s="31"/>
      <c r="B252" s="31"/>
      <c r="C252" s="31"/>
      <c r="D252" s="31"/>
      <c r="E252" s="31"/>
      <c r="F252" s="31"/>
      <c r="G252" s="31"/>
      <c r="H252" s="31"/>
      <c r="I252" s="31"/>
      <c r="J252" s="31"/>
      <c r="K252" s="31"/>
      <c r="L252" s="31"/>
      <c r="Q252" s="31"/>
      <c r="R252" s="31"/>
      <c r="S252" s="31"/>
      <c r="T252" s="31"/>
      <c r="U252" s="31"/>
      <c r="V252" s="31"/>
    </row>
    <row r="253" spans="1:22" ht="12.75" customHeight="1" x14ac:dyDescent="0.35">
      <c r="A253" s="31"/>
      <c r="B253" s="31"/>
      <c r="C253" s="31"/>
      <c r="D253" s="31"/>
      <c r="E253" s="31"/>
      <c r="F253" s="31"/>
      <c r="G253" s="31"/>
      <c r="H253" s="31"/>
      <c r="I253" s="31"/>
      <c r="J253" s="31"/>
      <c r="K253" s="31"/>
      <c r="L253" s="31"/>
      <c r="Q253" s="31"/>
      <c r="R253" s="31"/>
      <c r="S253" s="31"/>
      <c r="T253" s="31"/>
      <c r="U253" s="31"/>
      <c r="V253" s="31"/>
    </row>
    <row r="254" spans="1:22" ht="12.75" customHeight="1" x14ac:dyDescent="0.35">
      <c r="A254" s="31"/>
      <c r="B254" s="31"/>
      <c r="C254" s="31"/>
      <c r="D254" s="31"/>
      <c r="E254" s="31"/>
      <c r="F254" s="31"/>
      <c r="G254" s="31"/>
      <c r="H254" s="31"/>
      <c r="I254" s="31"/>
      <c r="J254" s="31"/>
      <c r="K254" s="31"/>
      <c r="L254" s="31"/>
      <c r="Q254" s="31"/>
      <c r="R254" s="31"/>
      <c r="S254" s="31"/>
      <c r="T254" s="31"/>
      <c r="U254" s="31"/>
      <c r="V254" s="31"/>
    </row>
    <row r="255" spans="1:22" ht="12.75" customHeight="1" x14ac:dyDescent="0.35">
      <c r="A255" s="31"/>
      <c r="B255" s="31"/>
      <c r="C255" s="31"/>
      <c r="D255" s="31"/>
      <c r="E255" s="31"/>
      <c r="F255" s="31"/>
      <c r="G255" s="31"/>
      <c r="H255" s="31"/>
      <c r="I255" s="31"/>
      <c r="J255" s="31"/>
      <c r="K255" s="31"/>
      <c r="L255" s="31"/>
      <c r="Q255" s="31"/>
      <c r="R255" s="31"/>
      <c r="S255" s="31"/>
      <c r="T255" s="31"/>
      <c r="U255" s="31"/>
      <c r="V255" s="31"/>
    </row>
    <row r="256" spans="1:22" ht="12.75" customHeight="1" x14ac:dyDescent="0.35">
      <c r="A256" s="31"/>
      <c r="B256" s="31"/>
      <c r="C256" s="31"/>
      <c r="D256" s="31"/>
      <c r="E256" s="31"/>
      <c r="F256" s="31"/>
      <c r="G256" s="31"/>
      <c r="H256" s="31"/>
      <c r="I256" s="31"/>
      <c r="J256" s="31"/>
      <c r="K256" s="31"/>
      <c r="L256" s="31"/>
      <c r="Q256" s="31"/>
      <c r="R256" s="31"/>
      <c r="S256" s="31"/>
      <c r="T256" s="31"/>
      <c r="U256" s="31"/>
      <c r="V256" s="31"/>
    </row>
    <row r="257" spans="1:22" ht="12.75" customHeight="1" x14ac:dyDescent="0.35">
      <c r="A257" s="31"/>
      <c r="B257" s="31"/>
      <c r="C257" s="31"/>
      <c r="D257" s="31"/>
      <c r="E257" s="31"/>
      <c r="F257" s="31"/>
      <c r="G257" s="31"/>
      <c r="H257" s="31"/>
      <c r="I257" s="31"/>
      <c r="J257" s="31"/>
      <c r="K257" s="31"/>
      <c r="L257" s="31"/>
      <c r="Q257" s="31"/>
      <c r="R257" s="31"/>
      <c r="S257" s="31"/>
      <c r="T257" s="31"/>
      <c r="U257" s="31"/>
      <c r="V257" s="31"/>
    </row>
    <row r="258" spans="1:22" ht="12.75" customHeight="1" x14ac:dyDescent="0.35">
      <c r="A258" s="31"/>
      <c r="B258" s="31"/>
      <c r="C258" s="31"/>
      <c r="D258" s="31"/>
      <c r="E258" s="31"/>
      <c r="F258" s="31"/>
      <c r="G258" s="31"/>
      <c r="H258" s="31"/>
      <c r="I258" s="31"/>
      <c r="J258" s="31"/>
      <c r="K258" s="31"/>
      <c r="L258" s="31"/>
      <c r="Q258" s="31"/>
      <c r="R258" s="31"/>
      <c r="S258" s="31"/>
      <c r="T258" s="31"/>
      <c r="U258" s="31"/>
      <c r="V258" s="31"/>
    </row>
    <row r="259" spans="1:22" ht="12.75" customHeight="1" x14ac:dyDescent="0.35">
      <c r="A259" s="31"/>
      <c r="B259" s="31"/>
      <c r="C259" s="31"/>
      <c r="D259" s="31"/>
      <c r="E259" s="31"/>
      <c r="F259" s="31"/>
      <c r="G259" s="31"/>
      <c r="H259" s="31"/>
      <c r="I259" s="31"/>
      <c r="J259" s="31"/>
      <c r="K259" s="31"/>
      <c r="L259" s="31"/>
      <c r="Q259" s="31"/>
      <c r="R259" s="31"/>
      <c r="S259" s="31"/>
      <c r="T259" s="31"/>
      <c r="U259" s="31"/>
      <c r="V259" s="31"/>
    </row>
    <row r="260" spans="1:22" ht="12.75" customHeight="1" x14ac:dyDescent="0.35">
      <c r="A260" s="31"/>
      <c r="B260" s="31"/>
      <c r="C260" s="31"/>
      <c r="D260" s="31"/>
      <c r="E260" s="31"/>
      <c r="F260" s="31"/>
      <c r="G260" s="31"/>
      <c r="H260" s="31"/>
      <c r="I260" s="31"/>
      <c r="J260" s="31"/>
      <c r="K260" s="31"/>
      <c r="L260" s="31"/>
      <c r="Q260" s="31"/>
      <c r="R260" s="31"/>
      <c r="S260" s="31"/>
      <c r="T260" s="31"/>
      <c r="U260" s="31"/>
      <c r="V260" s="31"/>
    </row>
    <row r="261" spans="1:22" ht="12.75" customHeight="1" x14ac:dyDescent="0.35">
      <c r="A261" s="31"/>
      <c r="B261" s="31"/>
      <c r="C261" s="31"/>
      <c r="D261" s="31"/>
      <c r="E261" s="31"/>
      <c r="F261" s="31"/>
      <c r="G261" s="31"/>
      <c r="H261" s="31"/>
      <c r="I261" s="31"/>
      <c r="J261" s="31"/>
      <c r="K261" s="31"/>
      <c r="L261" s="31"/>
      <c r="Q261" s="31"/>
      <c r="R261" s="31"/>
      <c r="S261" s="31"/>
      <c r="T261" s="31"/>
      <c r="U261" s="31"/>
      <c r="V261" s="31"/>
    </row>
    <row r="262" spans="1:22" ht="12.75" customHeight="1" x14ac:dyDescent="0.35">
      <c r="A262" s="31"/>
      <c r="B262" s="31"/>
      <c r="C262" s="31"/>
      <c r="D262" s="31"/>
      <c r="E262" s="31"/>
      <c r="F262" s="31"/>
      <c r="G262" s="31"/>
      <c r="H262" s="31"/>
      <c r="I262" s="31"/>
      <c r="J262" s="31"/>
      <c r="K262" s="31"/>
      <c r="L262" s="31"/>
      <c r="Q262" s="31"/>
      <c r="R262" s="31"/>
      <c r="S262" s="31"/>
      <c r="T262" s="31"/>
      <c r="U262" s="31"/>
      <c r="V262" s="31"/>
    </row>
    <row r="263" spans="1:22" ht="12.75" customHeight="1" x14ac:dyDescent="0.35">
      <c r="A263" s="31"/>
      <c r="B263" s="31"/>
      <c r="C263" s="31"/>
      <c r="D263" s="31"/>
      <c r="E263" s="31"/>
      <c r="F263" s="31"/>
      <c r="G263" s="31"/>
      <c r="H263" s="31"/>
      <c r="I263" s="31"/>
      <c r="J263" s="31"/>
      <c r="K263" s="31"/>
      <c r="L263" s="31"/>
      <c r="Q263" s="31"/>
      <c r="R263" s="31"/>
      <c r="S263" s="31"/>
      <c r="T263" s="31"/>
      <c r="U263" s="31"/>
      <c r="V263" s="31"/>
    </row>
    <row r="264" spans="1:22" ht="12.75" customHeight="1" x14ac:dyDescent="0.35">
      <c r="A264" s="31"/>
      <c r="B264" s="31"/>
      <c r="C264" s="31"/>
      <c r="D264" s="31"/>
      <c r="E264" s="31"/>
      <c r="F264" s="31"/>
      <c r="G264" s="31"/>
      <c r="H264" s="31"/>
      <c r="I264" s="31"/>
      <c r="J264" s="31"/>
      <c r="K264" s="31"/>
      <c r="L264" s="31"/>
      <c r="Q264" s="31"/>
      <c r="R264" s="31"/>
      <c r="S264" s="31"/>
      <c r="T264" s="31"/>
      <c r="U264" s="31"/>
      <c r="V264" s="31"/>
    </row>
    <row r="265" spans="1:22" ht="12.75" customHeight="1" x14ac:dyDescent="0.35">
      <c r="A265" s="31"/>
      <c r="B265" s="31"/>
      <c r="C265" s="31"/>
      <c r="D265" s="31"/>
      <c r="E265" s="31"/>
      <c r="F265" s="31"/>
      <c r="G265" s="31"/>
      <c r="H265" s="31"/>
      <c r="I265" s="31"/>
      <c r="J265" s="31"/>
      <c r="K265" s="31"/>
      <c r="L265" s="31"/>
      <c r="Q265" s="31"/>
      <c r="R265" s="31"/>
      <c r="S265" s="31"/>
      <c r="T265" s="31"/>
      <c r="U265" s="31"/>
      <c r="V265" s="31"/>
    </row>
    <row r="266" spans="1:22" ht="12.75" customHeight="1" x14ac:dyDescent="0.35">
      <c r="A266" s="31"/>
      <c r="B266" s="31"/>
      <c r="C266" s="31"/>
      <c r="D266" s="31"/>
      <c r="E266" s="31"/>
      <c r="F266" s="31"/>
      <c r="G266" s="31"/>
      <c r="H266" s="31"/>
      <c r="I266" s="31"/>
      <c r="J266" s="31"/>
      <c r="K266" s="31"/>
      <c r="L266" s="31"/>
      <c r="Q266" s="31"/>
      <c r="R266" s="31"/>
      <c r="S266" s="31"/>
      <c r="T266" s="31"/>
      <c r="U266" s="31"/>
      <c r="V266" s="31"/>
    </row>
    <row r="267" spans="1:22" ht="12.75" customHeight="1" x14ac:dyDescent="0.35">
      <c r="A267" s="31"/>
      <c r="B267" s="31"/>
      <c r="C267" s="31"/>
      <c r="D267" s="31"/>
      <c r="E267" s="31"/>
      <c r="F267" s="31"/>
      <c r="G267" s="31"/>
      <c r="H267" s="31"/>
      <c r="I267" s="31"/>
      <c r="J267" s="31"/>
      <c r="K267" s="31"/>
      <c r="L267" s="31"/>
      <c r="Q267" s="31"/>
      <c r="R267" s="31"/>
      <c r="S267" s="31"/>
      <c r="T267" s="31"/>
      <c r="U267" s="31"/>
      <c r="V267" s="31"/>
    </row>
    <row r="268" spans="1:22" ht="12.75" customHeight="1" x14ac:dyDescent="0.35">
      <c r="A268" s="31"/>
      <c r="B268" s="31"/>
      <c r="C268" s="31"/>
      <c r="D268" s="31"/>
      <c r="E268" s="31"/>
      <c r="F268" s="31"/>
      <c r="G268" s="31"/>
      <c r="H268" s="31"/>
      <c r="I268" s="31"/>
      <c r="J268" s="31"/>
      <c r="K268" s="31"/>
      <c r="L268" s="31"/>
      <c r="Q268" s="31"/>
      <c r="R268" s="31"/>
      <c r="S268" s="31"/>
      <c r="T268" s="31"/>
      <c r="U268" s="31"/>
      <c r="V268" s="31"/>
    </row>
    <row r="269" spans="1:22" ht="12.75" customHeight="1" x14ac:dyDescent="0.35">
      <c r="A269" s="31"/>
      <c r="B269" s="31"/>
      <c r="C269" s="31"/>
      <c r="D269" s="31"/>
      <c r="E269" s="31"/>
      <c r="F269" s="31"/>
      <c r="G269" s="31"/>
      <c r="H269" s="31"/>
      <c r="I269" s="31"/>
      <c r="J269" s="31"/>
      <c r="K269" s="31"/>
      <c r="L269" s="31"/>
      <c r="Q269" s="31"/>
      <c r="R269" s="31"/>
      <c r="S269" s="31"/>
      <c r="T269" s="31"/>
      <c r="U269" s="31"/>
      <c r="V269" s="31"/>
    </row>
    <row r="270" spans="1:22" ht="12.75" customHeight="1" x14ac:dyDescent="0.35">
      <c r="A270" s="31"/>
      <c r="B270" s="31"/>
      <c r="C270" s="31"/>
      <c r="D270" s="31"/>
      <c r="E270" s="31"/>
      <c r="F270" s="31"/>
      <c r="G270" s="31"/>
      <c r="H270" s="31"/>
      <c r="I270" s="31"/>
      <c r="J270" s="31"/>
      <c r="K270" s="31"/>
      <c r="L270" s="31"/>
      <c r="Q270" s="31"/>
      <c r="R270" s="31"/>
      <c r="S270" s="31"/>
      <c r="T270" s="31"/>
      <c r="U270" s="31"/>
      <c r="V270" s="31"/>
    </row>
    <row r="271" spans="1:22" ht="12.75" customHeight="1" x14ac:dyDescent="0.35">
      <c r="A271" s="31"/>
      <c r="B271" s="31"/>
      <c r="C271" s="31"/>
      <c r="D271" s="31"/>
      <c r="E271" s="31"/>
      <c r="F271" s="31"/>
      <c r="G271" s="31"/>
      <c r="H271" s="31"/>
      <c r="I271" s="31"/>
      <c r="J271" s="31"/>
      <c r="K271" s="31"/>
      <c r="L271" s="31"/>
      <c r="Q271" s="31"/>
      <c r="R271" s="31"/>
      <c r="S271" s="31"/>
      <c r="T271" s="31"/>
      <c r="U271" s="31"/>
      <c r="V271" s="31"/>
    </row>
    <row r="272" spans="1:22" ht="12.75" customHeight="1" x14ac:dyDescent="0.35">
      <c r="A272" s="31"/>
      <c r="B272" s="31"/>
      <c r="C272" s="31"/>
      <c r="D272" s="31"/>
      <c r="E272" s="31"/>
      <c r="F272" s="31"/>
      <c r="G272" s="31"/>
      <c r="H272" s="31"/>
      <c r="I272" s="31"/>
      <c r="J272" s="31"/>
      <c r="K272" s="31"/>
      <c r="L272" s="31"/>
      <c r="Q272" s="31"/>
      <c r="R272" s="31"/>
      <c r="S272" s="31"/>
      <c r="T272" s="31"/>
      <c r="U272" s="31"/>
      <c r="V272" s="31"/>
    </row>
    <row r="273" spans="1:22" ht="12.75" customHeight="1" x14ac:dyDescent="0.35">
      <c r="A273" s="31"/>
      <c r="B273" s="31"/>
      <c r="C273" s="31"/>
      <c r="D273" s="31"/>
      <c r="E273" s="31"/>
      <c r="F273" s="31"/>
      <c r="G273" s="31"/>
      <c r="H273" s="31"/>
      <c r="I273" s="31"/>
      <c r="J273" s="31"/>
      <c r="K273" s="31"/>
      <c r="L273" s="31"/>
      <c r="Q273" s="31"/>
      <c r="R273" s="31"/>
      <c r="S273" s="31"/>
      <c r="T273" s="31"/>
      <c r="U273" s="31"/>
      <c r="V273" s="31"/>
    </row>
    <row r="274" spans="1:22" ht="12.75" customHeight="1" x14ac:dyDescent="0.35">
      <c r="A274" s="31"/>
      <c r="B274" s="31"/>
      <c r="C274" s="31"/>
      <c r="D274" s="31"/>
      <c r="E274" s="31"/>
      <c r="F274" s="31"/>
      <c r="G274" s="31"/>
      <c r="H274" s="31"/>
      <c r="I274" s="31"/>
      <c r="J274" s="31"/>
      <c r="K274" s="31"/>
      <c r="L274" s="31"/>
      <c r="Q274" s="31"/>
      <c r="R274" s="31"/>
      <c r="S274" s="31"/>
      <c r="T274" s="31"/>
      <c r="U274" s="31"/>
      <c r="V274" s="31"/>
    </row>
    <row r="275" spans="1:22" ht="12.75" customHeight="1" x14ac:dyDescent="0.35">
      <c r="A275" s="31"/>
      <c r="B275" s="31"/>
      <c r="C275" s="31"/>
      <c r="D275" s="31"/>
      <c r="E275" s="31"/>
      <c r="F275" s="31"/>
      <c r="G275" s="31"/>
      <c r="H275" s="31"/>
      <c r="I275" s="31"/>
      <c r="J275" s="31"/>
      <c r="K275" s="31"/>
      <c r="L275" s="31"/>
      <c r="Q275" s="31"/>
      <c r="R275" s="31"/>
      <c r="S275" s="31"/>
      <c r="T275" s="31"/>
      <c r="U275" s="31"/>
      <c r="V275" s="31"/>
    </row>
    <row r="276" spans="1:22" ht="12.75" customHeight="1" x14ac:dyDescent="0.35">
      <c r="A276" s="31"/>
      <c r="B276" s="31"/>
      <c r="C276" s="31"/>
      <c r="D276" s="31"/>
      <c r="E276" s="31"/>
      <c r="F276" s="31"/>
      <c r="G276" s="31"/>
      <c r="H276" s="31"/>
      <c r="I276" s="31"/>
      <c r="J276" s="31"/>
      <c r="K276" s="31"/>
      <c r="L276" s="31"/>
      <c r="Q276" s="31"/>
      <c r="R276" s="31"/>
      <c r="S276" s="31"/>
      <c r="T276" s="31"/>
      <c r="U276" s="31"/>
      <c r="V276" s="31"/>
    </row>
    <row r="277" spans="1:22" ht="12.75" customHeight="1" x14ac:dyDescent="0.35">
      <c r="A277" s="31"/>
      <c r="B277" s="31"/>
      <c r="C277" s="31"/>
      <c r="D277" s="31"/>
      <c r="E277" s="31"/>
      <c r="F277" s="31"/>
      <c r="G277" s="31"/>
      <c r="H277" s="31"/>
      <c r="I277" s="31"/>
      <c r="J277" s="31"/>
      <c r="K277" s="31"/>
      <c r="L277" s="31"/>
      <c r="Q277" s="31"/>
      <c r="R277" s="31"/>
      <c r="S277" s="31"/>
      <c r="T277" s="31"/>
      <c r="U277" s="31"/>
      <c r="V277" s="31"/>
    </row>
    <row r="278" spans="1:22" ht="12.75" customHeight="1" x14ac:dyDescent="0.35">
      <c r="A278" s="31"/>
      <c r="B278" s="31"/>
      <c r="C278" s="31"/>
      <c r="D278" s="31"/>
      <c r="E278" s="31"/>
      <c r="F278" s="31"/>
      <c r="G278" s="31"/>
      <c r="H278" s="31"/>
      <c r="I278" s="31"/>
      <c r="J278" s="31"/>
      <c r="K278" s="31"/>
      <c r="L278" s="31"/>
      <c r="Q278" s="31"/>
      <c r="R278" s="31"/>
      <c r="S278" s="31"/>
      <c r="T278" s="31"/>
      <c r="U278" s="31"/>
      <c r="V278" s="31"/>
    </row>
    <row r="279" spans="1:22" ht="12.75" customHeight="1" x14ac:dyDescent="0.35">
      <c r="A279" s="31"/>
      <c r="B279" s="31"/>
      <c r="C279" s="31"/>
      <c r="D279" s="31"/>
      <c r="E279" s="31"/>
      <c r="F279" s="31"/>
      <c r="G279" s="31"/>
      <c r="H279" s="31"/>
      <c r="I279" s="31"/>
      <c r="J279" s="31"/>
      <c r="K279" s="31"/>
      <c r="L279" s="31"/>
      <c r="Q279" s="31"/>
      <c r="R279" s="31"/>
      <c r="S279" s="31"/>
      <c r="T279" s="31"/>
      <c r="U279" s="31"/>
      <c r="V279" s="31"/>
    </row>
    <row r="280" spans="1:22" ht="12.75" customHeight="1" x14ac:dyDescent="0.35">
      <c r="A280" s="31"/>
      <c r="B280" s="31"/>
      <c r="C280" s="31"/>
      <c r="D280" s="31"/>
      <c r="E280" s="31"/>
      <c r="F280" s="31"/>
      <c r="G280" s="31"/>
      <c r="H280" s="31"/>
      <c r="I280" s="31"/>
      <c r="J280" s="31"/>
      <c r="K280" s="31"/>
      <c r="L280" s="31"/>
      <c r="Q280" s="31"/>
      <c r="R280" s="31"/>
      <c r="S280" s="31"/>
      <c r="T280" s="31"/>
      <c r="U280" s="31"/>
      <c r="V280" s="31"/>
    </row>
    <row r="281" spans="1:22" ht="12.75" customHeight="1" x14ac:dyDescent="0.35">
      <c r="A281" s="31"/>
      <c r="B281" s="31"/>
      <c r="C281" s="31"/>
      <c r="D281" s="31"/>
      <c r="E281" s="31"/>
      <c r="F281" s="31"/>
      <c r="G281" s="31"/>
      <c r="H281" s="31"/>
      <c r="I281" s="31"/>
      <c r="J281" s="31"/>
      <c r="K281" s="31"/>
      <c r="L281" s="31"/>
      <c r="Q281" s="31"/>
      <c r="R281" s="31"/>
      <c r="S281" s="31"/>
      <c r="T281" s="31"/>
      <c r="U281" s="31"/>
      <c r="V281" s="31"/>
    </row>
    <row r="282" spans="1:22" ht="12.75" customHeight="1" x14ac:dyDescent="0.35">
      <c r="A282" s="31"/>
      <c r="B282" s="31"/>
      <c r="C282" s="31"/>
      <c r="D282" s="31"/>
      <c r="E282" s="31"/>
      <c r="F282" s="31"/>
      <c r="G282" s="31"/>
      <c r="H282" s="31"/>
      <c r="I282" s="31"/>
      <c r="J282" s="31"/>
      <c r="K282" s="31"/>
      <c r="L282" s="31"/>
      <c r="Q282" s="31"/>
      <c r="R282" s="31"/>
      <c r="S282" s="31"/>
      <c r="T282" s="31"/>
      <c r="U282" s="31"/>
      <c r="V282" s="31"/>
    </row>
    <row r="283" spans="1:22" ht="12.75" customHeight="1" x14ac:dyDescent="0.35">
      <c r="A283" s="31"/>
      <c r="B283" s="31"/>
      <c r="C283" s="31"/>
      <c r="D283" s="31"/>
      <c r="E283" s="31"/>
      <c r="F283" s="31"/>
      <c r="G283" s="31"/>
      <c r="H283" s="31"/>
      <c r="I283" s="31"/>
      <c r="J283" s="31"/>
      <c r="K283" s="31"/>
      <c r="L283" s="31"/>
      <c r="Q283" s="31"/>
      <c r="R283" s="31"/>
      <c r="S283" s="31"/>
      <c r="T283" s="31"/>
      <c r="U283" s="31"/>
      <c r="V283" s="31"/>
    </row>
    <row r="284" spans="1:22" ht="12.75" customHeight="1" x14ac:dyDescent="0.35">
      <c r="A284" s="31"/>
      <c r="B284" s="31"/>
      <c r="C284" s="31"/>
      <c r="D284" s="31"/>
      <c r="E284" s="31"/>
      <c r="F284" s="31"/>
      <c r="G284" s="31"/>
      <c r="H284" s="31"/>
      <c r="I284" s="31"/>
      <c r="J284" s="31"/>
      <c r="K284" s="31"/>
      <c r="L284" s="31"/>
      <c r="Q284" s="31"/>
      <c r="R284" s="31"/>
      <c r="S284" s="31"/>
      <c r="T284" s="31"/>
      <c r="U284" s="31"/>
      <c r="V284" s="31"/>
    </row>
    <row r="285" spans="1:22" ht="12.75" customHeight="1" x14ac:dyDescent="0.35">
      <c r="A285" s="31"/>
      <c r="B285" s="31"/>
      <c r="C285" s="31"/>
      <c r="D285" s="31"/>
      <c r="E285" s="31"/>
      <c r="F285" s="31"/>
      <c r="G285" s="31"/>
      <c r="H285" s="31"/>
      <c r="I285" s="31"/>
      <c r="J285" s="31"/>
      <c r="K285" s="31"/>
      <c r="L285" s="31"/>
      <c r="Q285" s="31"/>
      <c r="R285" s="31"/>
      <c r="S285" s="31"/>
      <c r="T285" s="31"/>
      <c r="U285" s="31"/>
      <c r="V285" s="31"/>
    </row>
    <row r="286" spans="1:22" ht="12.75" customHeight="1" x14ac:dyDescent="0.35">
      <c r="A286" s="31"/>
      <c r="B286" s="31"/>
      <c r="C286" s="31"/>
      <c r="D286" s="31"/>
      <c r="E286" s="31"/>
      <c r="F286" s="31"/>
      <c r="G286" s="31"/>
      <c r="H286" s="31"/>
      <c r="I286" s="31"/>
      <c r="J286" s="31"/>
      <c r="K286" s="31"/>
      <c r="L286" s="31"/>
      <c r="Q286" s="31"/>
      <c r="R286" s="31"/>
      <c r="S286" s="31"/>
      <c r="T286" s="31"/>
      <c r="U286" s="31"/>
      <c r="V286" s="31"/>
    </row>
    <row r="287" spans="1:22" ht="12.75" customHeight="1" x14ac:dyDescent="0.35">
      <c r="A287" s="31"/>
      <c r="B287" s="31"/>
      <c r="C287" s="31"/>
      <c r="D287" s="31"/>
      <c r="E287" s="31"/>
      <c r="F287" s="31"/>
      <c r="G287" s="31"/>
      <c r="H287" s="31"/>
      <c r="I287" s="31"/>
      <c r="J287" s="31"/>
      <c r="K287" s="31"/>
      <c r="L287" s="31"/>
      <c r="Q287" s="31"/>
      <c r="R287" s="31"/>
      <c r="S287" s="31"/>
      <c r="T287" s="31"/>
      <c r="U287" s="31"/>
      <c r="V287" s="31"/>
    </row>
    <row r="288" spans="1:22" ht="12.75" customHeight="1" x14ac:dyDescent="0.35">
      <c r="A288" s="31"/>
      <c r="B288" s="31"/>
      <c r="C288" s="31"/>
      <c r="D288" s="31"/>
      <c r="E288" s="31"/>
      <c r="F288" s="31"/>
      <c r="G288" s="31"/>
      <c r="H288" s="31"/>
      <c r="I288" s="31"/>
      <c r="J288" s="31"/>
      <c r="K288" s="31"/>
      <c r="L288" s="31"/>
      <c r="Q288" s="31"/>
      <c r="R288" s="31"/>
      <c r="S288" s="31"/>
      <c r="T288" s="31"/>
      <c r="U288" s="31"/>
      <c r="V288" s="31"/>
    </row>
    <row r="289" spans="1:22" ht="12.75" customHeight="1" x14ac:dyDescent="0.35">
      <c r="A289" s="31"/>
      <c r="B289" s="31"/>
      <c r="C289" s="31"/>
      <c r="D289" s="31"/>
      <c r="E289" s="31"/>
      <c r="F289" s="31"/>
      <c r="G289" s="31"/>
      <c r="H289" s="31"/>
      <c r="I289" s="31"/>
      <c r="J289" s="31"/>
      <c r="K289" s="31"/>
      <c r="L289" s="31"/>
      <c r="Q289" s="31"/>
      <c r="R289" s="31"/>
      <c r="S289" s="31"/>
      <c r="T289" s="31"/>
      <c r="U289" s="31"/>
      <c r="V289" s="31"/>
    </row>
    <row r="290" spans="1:22" ht="12.75" customHeight="1" x14ac:dyDescent="0.35">
      <c r="A290" s="31"/>
      <c r="B290" s="31"/>
      <c r="C290" s="31"/>
      <c r="D290" s="31"/>
      <c r="E290" s="31"/>
      <c r="F290" s="31"/>
      <c r="G290" s="31"/>
      <c r="H290" s="31"/>
      <c r="I290" s="31"/>
      <c r="J290" s="31"/>
      <c r="K290" s="31"/>
      <c r="L290" s="31"/>
      <c r="Q290" s="31"/>
      <c r="R290" s="31"/>
      <c r="S290" s="31"/>
      <c r="T290" s="31"/>
      <c r="U290" s="31"/>
      <c r="V290" s="31"/>
    </row>
    <row r="291" spans="1:22" ht="12.75" customHeight="1" x14ac:dyDescent="0.35">
      <c r="A291" s="31"/>
      <c r="B291" s="31"/>
      <c r="C291" s="31"/>
      <c r="D291" s="31"/>
      <c r="E291" s="31"/>
      <c r="F291" s="31"/>
      <c r="G291" s="31"/>
      <c r="H291" s="31"/>
      <c r="I291" s="31"/>
      <c r="J291" s="31"/>
      <c r="K291" s="31"/>
      <c r="L291" s="31"/>
      <c r="Q291" s="31"/>
      <c r="R291" s="31"/>
      <c r="S291" s="31"/>
      <c r="T291" s="31"/>
      <c r="U291" s="31"/>
      <c r="V291" s="31"/>
    </row>
    <row r="292" spans="1:22" ht="12.75" customHeight="1" x14ac:dyDescent="0.35">
      <c r="A292" s="31"/>
      <c r="B292" s="31"/>
      <c r="C292" s="31"/>
      <c r="D292" s="31"/>
      <c r="E292" s="31"/>
      <c r="F292" s="31"/>
      <c r="G292" s="31"/>
      <c r="H292" s="31"/>
      <c r="I292" s="31"/>
      <c r="J292" s="31"/>
      <c r="K292" s="31"/>
      <c r="L292" s="31"/>
      <c r="Q292" s="31"/>
      <c r="R292" s="31"/>
      <c r="S292" s="31"/>
      <c r="T292" s="31"/>
      <c r="U292" s="31"/>
      <c r="V292" s="31"/>
    </row>
    <row r="293" spans="1:22" ht="12.75" customHeight="1" x14ac:dyDescent="0.35">
      <c r="A293" s="31"/>
      <c r="B293" s="31"/>
      <c r="C293" s="31"/>
      <c r="D293" s="31"/>
      <c r="E293" s="31"/>
      <c r="F293" s="31"/>
      <c r="G293" s="31"/>
      <c r="H293" s="31"/>
      <c r="I293" s="31"/>
      <c r="J293" s="31"/>
      <c r="K293" s="31"/>
      <c r="L293" s="31"/>
      <c r="Q293" s="31"/>
      <c r="R293" s="31"/>
      <c r="S293" s="31"/>
      <c r="T293" s="31"/>
      <c r="U293" s="31"/>
      <c r="V293" s="31"/>
    </row>
    <row r="294" spans="1:22" ht="12.75" customHeight="1" x14ac:dyDescent="0.35">
      <c r="A294" s="31"/>
      <c r="B294" s="31"/>
      <c r="C294" s="31"/>
      <c r="D294" s="31"/>
      <c r="E294" s="31"/>
      <c r="F294" s="31"/>
      <c r="G294" s="31"/>
      <c r="H294" s="31"/>
      <c r="I294" s="31"/>
      <c r="J294" s="31"/>
      <c r="K294" s="31"/>
      <c r="L294" s="31"/>
      <c r="Q294" s="31"/>
      <c r="R294" s="31"/>
      <c r="S294" s="31"/>
      <c r="T294" s="31"/>
      <c r="U294" s="31"/>
      <c r="V294" s="31"/>
    </row>
    <row r="295" spans="1:22" ht="12.75" customHeight="1" x14ac:dyDescent="0.35">
      <c r="A295" s="31"/>
      <c r="B295" s="31"/>
      <c r="C295" s="31"/>
      <c r="D295" s="31"/>
      <c r="E295" s="31"/>
      <c r="F295" s="31"/>
      <c r="G295" s="31"/>
      <c r="H295" s="31"/>
      <c r="I295" s="31"/>
      <c r="J295" s="31"/>
      <c r="K295" s="31"/>
      <c r="L295" s="31"/>
      <c r="Q295" s="31"/>
      <c r="R295" s="31"/>
      <c r="S295" s="31"/>
      <c r="T295" s="31"/>
      <c r="U295" s="31"/>
      <c r="V295" s="31"/>
    </row>
    <row r="296" spans="1:22" ht="12.75" customHeight="1" x14ac:dyDescent="0.35">
      <c r="A296" s="31"/>
      <c r="B296" s="31"/>
      <c r="C296" s="31"/>
      <c r="D296" s="31"/>
      <c r="E296" s="31"/>
      <c r="F296" s="31"/>
      <c r="G296" s="31"/>
      <c r="H296" s="31"/>
      <c r="I296" s="31"/>
      <c r="J296" s="31"/>
      <c r="K296" s="31"/>
      <c r="L296" s="31"/>
      <c r="Q296" s="31"/>
      <c r="R296" s="31"/>
      <c r="S296" s="31"/>
      <c r="T296" s="31"/>
      <c r="U296" s="31"/>
      <c r="V296" s="31"/>
    </row>
    <row r="297" spans="1:22" ht="12.75" customHeight="1" x14ac:dyDescent="0.35">
      <c r="A297" s="31"/>
      <c r="B297" s="31"/>
      <c r="C297" s="31"/>
      <c r="D297" s="31"/>
      <c r="E297" s="31"/>
      <c r="F297" s="31"/>
      <c r="G297" s="31"/>
      <c r="H297" s="31"/>
      <c r="I297" s="31"/>
      <c r="J297" s="31"/>
      <c r="K297" s="31"/>
      <c r="L297" s="31"/>
      <c r="Q297" s="31"/>
      <c r="R297" s="31"/>
      <c r="S297" s="31"/>
      <c r="T297" s="31"/>
      <c r="U297" s="31"/>
      <c r="V297" s="31"/>
    </row>
    <row r="298" spans="1:22" ht="12.75" customHeight="1" x14ac:dyDescent="0.35">
      <c r="A298" s="31"/>
      <c r="B298" s="31"/>
      <c r="C298" s="31"/>
      <c r="D298" s="31"/>
      <c r="E298" s="31"/>
      <c r="F298" s="31"/>
      <c r="G298" s="31"/>
      <c r="H298" s="31"/>
      <c r="I298" s="31"/>
      <c r="J298" s="31"/>
      <c r="K298" s="31"/>
      <c r="L298" s="31"/>
      <c r="Q298" s="31"/>
      <c r="R298" s="31"/>
      <c r="S298" s="31"/>
      <c r="T298" s="31"/>
      <c r="U298" s="31"/>
      <c r="V298" s="31"/>
    </row>
    <row r="299" spans="1:22" ht="12.75" customHeight="1" x14ac:dyDescent="0.35">
      <c r="A299" s="31"/>
      <c r="B299" s="31"/>
      <c r="C299" s="31"/>
      <c r="D299" s="31"/>
      <c r="E299" s="31"/>
      <c r="F299" s="31"/>
      <c r="G299" s="31"/>
      <c r="H299" s="31"/>
      <c r="I299" s="31"/>
      <c r="J299" s="31"/>
      <c r="K299" s="31"/>
      <c r="L299" s="31"/>
      <c r="Q299" s="31"/>
      <c r="R299" s="31"/>
      <c r="S299" s="31"/>
      <c r="T299" s="31"/>
      <c r="U299" s="31"/>
      <c r="V299" s="31"/>
    </row>
    <row r="300" spans="1:22" ht="12.75" customHeight="1" x14ac:dyDescent="0.35">
      <c r="A300" s="31"/>
      <c r="B300" s="31"/>
      <c r="C300" s="31"/>
      <c r="D300" s="31"/>
      <c r="E300" s="31"/>
      <c r="F300" s="31"/>
      <c r="G300" s="31"/>
      <c r="H300" s="31"/>
      <c r="I300" s="31"/>
      <c r="J300" s="31"/>
      <c r="K300" s="31"/>
      <c r="L300" s="31"/>
      <c r="Q300" s="31"/>
      <c r="R300" s="31"/>
      <c r="S300" s="31"/>
      <c r="T300" s="31"/>
      <c r="U300" s="31"/>
      <c r="V300" s="31"/>
    </row>
    <row r="301" spans="1:22" ht="12.75" customHeight="1" x14ac:dyDescent="0.35">
      <c r="A301" s="31"/>
      <c r="B301" s="31"/>
      <c r="C301" s="31"/>
      <c r="D301" s="31"/>
      <c r="E301" s="31"/>
      <c r="F301" s="31"/>
      <c r="G301" s="31"/>
      <c r="H301" s="31"/>
      <c r="I301" s="31"/>
      <c r="J301" s="31"/>
      <c r="K301" s="31"/>
      <c r="L301" s="31"/>
      <c r="Q301" s="31"/>
      <c r="R301" s="31"/>
      <c r="S301" s="31"/>
      <c r="T301" s="31"/>
      <c r="U301" s="31"/>
      <c r="V301" s="31"/>
    </row>
    <row r="302" spans="1:22" ht="12.75" customHeight="1" x14ac:dyDescent="0.35">
      <c r="A302" s="31"/>
      <c r="B302" s="31"/>
      <c r="C302" s="31"/>
      <c r="D302" s="31"/>
      <c r="E302" s="31"/>
      <c r="F302" s="31"/>
      <c r="G302" s="31"/>
      <c r="H302" s="31"/>
      <c r="I302" s="31"/>
      <c r="J302" s="31"/>
      <c r="K302" s="31"/>
      <c r="L302" s="31"/>
      <c r="Q302" s="31"/>
      <c r="R302" s="31"/>
      <c r="S302" s="31"/>
      <c r="T302" s="31"/>
      <c r="U302" s="31"/>
      <c r="V302" s="31"/>
    </row>
    <row r="303" spans="1:22" ht="12.75" customHeight="1" x14ac:dyDescent="0.35">
      <c r="A303" s="31"/>
      <c r="B303" s="31"/>
      <c r="C303" s="31"/>
      <c r="D303" s="31"/>
      <c r="E303" s="31"/>
      <c r="F303" s="31"/>
      <c r="G303" s="31"/>
      <c r="H303" s="31"/>
      <c r="I303" s="31"/>
      <c r="J303" s="31"/>
      <c r="K303" s="31"/>
      <c r="L303" s="31"/>
      <c r="Q303" s="31"/>
      <c r="R303" s="31"/>
      <c r="S303" s="31"/>
      <c r="T303" s="31"/>
      <c r="U303" s="31"/>
      <c r="V303" s="31"/>
    </row>
    <row r="304" spans="1:22" ht="12.75" customHeight="1" x14ac:dyDescent="0.35">
      <c r="A304" s="31"/>
      <c r="B304" s="31"/>
      <c r="C304" s="31"/>
      <c r="D304" s="31"/>
      <c r="E304" s="31"/>
      <c r="F304" s="31"/>
      <c r="G304" s="31"/>
      <c r="H304" s="31"/>
      <c r="I304" s="31"/>
      <c r="J304" s="31"/>
      <c r="K304" s="31"/>
      <c r="L304" s="31"/>
      <c r="Q304" s="31"/>
      <c r="R304" s="31"/>
      <c r="S304" s="31"/>
      <c r="T304" s="31"/>
      <c r="U304" s="31"/>
      <c r="V304" s="31"/>
    </row>
    <row r="305" spans="1:22" ht="12.75" customHeight="1" x14ac:dyDescent="0.35">
      <c r="A305" s="31"/>
      <c r="B305" s="31"/>
      <c r="C305" s="31"/>
      <c r="D305" s="31"/>
      <c r="E305" s="31"/>
      <c r="F305" s="31"/>
      <c r="G305" s="31"/>
      <c r="H305" s="31"/>
      <c r="I305" s="31"/>
      <c r="J305" s="31"/>
      <c r="K305" s="31"/>
      <c r="L305" s="31"/>
      <c r="Q305" s="31"/>
      <c r="R305" s="31"/>
      <c r="S305" s="31"/>
      <c r="T305" s="31"/>
      <c r="U305" s="31"/>
      <c r="V305" s="31"/>
    </row>
    <row r="306" spans="1:22" ht="12.75" customHeight="1" x14ac:dyDescent="0.35">
      <c r="A306" s="31"/>
      <c r="B306" s="31"/>
      <c r="C306" s="31"/>
      <c r="D306" s="31"/>
      <c r="E306" s="31"/>
      <c r="F306" s="31"/>
      <c r="G306" s="31"/>
      <c r="H306" s="31"/>
      <c r="I306" s="31"/>
      <c r="J306" s="31"/>
      <c r="K306" s="31"/>
      <c r="L306" s="31"/>
      <c r="Q306" s="31"/>
      <c r="R306" s="31"/>
      <c r="S306" s="31"/>
      <c r="T306" s="31"/>
      <c r="U306" s="31"/>
      <c r="V306" s="31"/>
    </row>
    <row r="307" spans="1:22" ht="12.75" customHeight="1" x14ac:dyDescent="0.35">
      <c r="A307" s="31"/>
      <c r="B307" s="31"/>
      <c r="C307" s="31"/>
      <c r="D307" s="31"/>
      <c r="E307" s="31"/>
      <c r="F307" s="31"/>
      <c r="G307" s="31"/>
      <c r="H307" s="31"/>
      <c r="I307" s="31"/>
      <c r="J307" s="31"/>
      <c r="K307" s="31"/>
      <c r="L307" s="31"/>
      <c r="Q307" s="31"/>
      <c r="R307" s="31"/>
      <c r="S307" s="31"/>
      <c r="T307" s="31"/>
      <c r="U307" s="31"/>
      <c r="V307" s="31"/>
    </row>
    <row r="308" spans="1:22" ht="12.75" customHeight="1" x14ac:dyDescent="0.35">
      <c r="A308" s="31"/>
      <c r="B308" s="31"/>
      <c r="C308" s="31"/>
      <c r="D308" s="31"/>
      <c r="E308" s="31"/>
      <c r="F308" s="31"/>
      <c r="G308" s="31"/>
      <c r="H308" s="31"/>
      <c r="I308" s="31"/>
      <c r="J308" s="31"/>
      <c r="K308" s="31"/>
      <c r="L308" s="31"/>
      <c r="Q308" s="31"/>
      <c r="R308" s="31"/>
      <c r="S308" s="31"/>
      <c r="T308" s="31"/>
      <c r="U308" s="31"/>
      <c r="V308" s="31"/>
    </row>
    <row r="309" spans="1:22" ht="12.75" customHeight="1" x14ac:dyDescent="0.35">
      <c r="A309" s="31"/>
      <c r="B309" s="31"/>
      <c r="C309" s="31"/>
      <c r="D309" s="31"/>
      <c r="E309" s="31"/>
      <c r="F309" s="31"/>
      <c r="G309" s="31"/>
      <c r="H309" s="31"/>
      <c r="I309" s="31"/>
      <c r="J309" s="31"/>
      <c r="K309" s="31"/>
      <c r="L309" s="31"/>
      <c r="Q309" s="31"/>
      <c r="R309" s="31"/>
      <c r="S309" s="31"/>
      <c r="T309" s="31"/>
      <c r="U309" s="31"/>
      <c r="V309" s="31"/>
    </row>
    <row r="310" spans="1:22" ht="12.75" customHeight="1" x14ac:dyDescent="0.35">
      <c r="A310" s="31"/>
      <c r="B310" s="31"/>
      <c r="C310" s="31"/>
      <c r="D310" s="31"/>
      <c r="E310" s="31"/>
      <c r="F310" s="31"/>
      <c r="G310" s="31"/>
      <c r="H310" s="31"/>
      <c r="I310" s="31"/>
      <c r="J310" s="31"/>
      <c r="K310" s="31"/>
      <c r="L310" s="31"/>
      <c r="Q310" s="31"/>
      <c r="R310" s="31"/>
      <c r="S310" s="31"/>
      <c r="T310" s="31"/>
      <c r="U310" s="31"/>
      <c r="V310" s="31"/>
    </row>
    <row r="311" spans="1:22" ht="12.75" customHeight="1" x14ac:dyDescent="0.35">
      <c r="A311" s="31"/>
      <c r="B311" s="31"/>
      <c r="C311" s="31"/>
      <c r="D311" s="31"/>
      <c r="E311" s="31"/>
      <c r="F311" s="31"/>
      <c r="G311" s="31"/>
      <c r="H311" s="31"/>
      <c r="I311" s="31"/>
      <c r="J311" s="31"/>
      <c r="K311" s="31"/>
      <c r="L311" s="31"/>
      <c r="Q311" s="31"/>
      <c r="R311" s="31"/>
      <c r="S311" s="31"/>
      <c r="T311" s="31"/>
      <c r="U311" s="31"/>
      <c r="V311" s="31"/>
    </row>
    <row r="312" spans="1:22" ht="12.75" customHeight="1" x14ac:dyDescent="0.35">
      <c r="A312" s="31"/>
      <c r="B312" s="31"/>
      <c r="C312" s="31"/>
      <c r="D312" s="31"/>
      <c r="E312" s="31"/>
      <c r="F312" s="31"/>
      <c r="G312" s="31"/>
      <c r="H312" s="31"/>
      <c r="I312" s="31"/>
      <c r="J312" s="31"/>
      <c r="K312" s="31"/>
      <c r="L312" s="31"/>
      <c r="Q312" s="31"/>
      <c r="R312" s="31"/>
      <c r="S312" s="31"/>
      <c r="T312" s="31"/>
      <c r="U312" s="31"/>
      <c r="V312" s="31"/>
    </row>
    <row r="313" spans="1:22" ht="12.75" customHeight="1" x14ac:dyDescent="0.35">
      <c r="A313" s="31"/>
      <c r="B313" s="31"/>
      <c r="C313" s="31"/>
      <c r="D313" s="31"/>
      <c r="E313" s="31"/>
      <c r="F313" s="31"/>
      <c r="G313" s="31"/>
      <c r="H313" s="31"/>
      <c r="I313" s="31"/>
      <c r="J313" s="31"/>
      <c r="K313" s="31"/>
      <c r="L313" s="31"/>
      <c r="Q313" s="31"/>
      <c r="R313" s="31"/>
      <c r="S313" s="31"/>
      <c r="T313" s="31"/>
      <c r="U313" s="31"/>
      <c r="V313" s="31"/>
    </row>
    <row r="314" spans="1:22" ht="12.75" customHeight="1" x14ac:dyDescent="0.35">
      <c r="A314" s="31"/>
      <c r="B314" s="31"/>
      <c r="C314" s="31"/>
      <c r="D314" s="31"/>
      <c r="E314" s="31"/>
      <c r="F314" s="31"/>
      <c r="G314" s="31"/>
      <c r="H314" s="31"/>
      <c r="I314" s="31"/>
      <c r="J314" s="31"/>
      <c r="K314" s="31"/>
      <c r="L314" s="31"/>
      <c r="Q314" s="31"/>
      <c r="R314" s="31"/>
      <c r="S314" s="31"/>
      <c r="T314" s="31"/>
      <c r="U314" s="31"/>
      <c r="V314" s="31"/>
    </row>
    <row r="315" spans="1:22" ht="12.75" customHeight="1" x14ac:dyDescent="0.35">
      <c r="A315" s="31"/>
      <c r="B315" s="31"/>
      <c r="C315" s="31"/>
      <c r="D315" s="31"/>
      <c r="E315" s="31"/>
      <c r="F315" s="31"/>
      <c r="G315" s="31"/>
      <c r="H315" s="31"/>
      <c r="I315" s="31"/>
      <c r="J315" s="31"/>
      <c r="K315" s="31"/>
      <c r="L315" s="31"/>
      <c r="Q315" s="31"/>
      <c r="R315" s="31"/>
      <c r="S315" s="31"/>
      <c r="T315" s="31"/>
      <c r="U315" s="31"/>
      <c r="V315" s="31"/>
    </row>
    <row r="316" spans="1:22" ht="12.75" customHeight="1" x14ac:dyDescent="0.35">
      <c r="A316" s="31"/>
      <c r="B316" s="31"/>
      <c r="C316" s="31"/>
      <c r="D316" s="31"/>
      <c r="E316" s="31"/>
      <c r="F316" s="31"/>
      <c r="G316" s="31"/>
      <c r="H316" s="31"/>
      <c r="I316" s="31"/>
      <c r="J316" s="31"/>
      <c r="K316" s="31"/>
      <c r="L316" s="31"/>
      <c r="Q316" s="31"/>
      <c r="R316" s="31"/>
      <c r="S316" s="31"/>
      <c r="T316" s="31"/>
      <c r="U316" s="31"/>
      <c r="V316" s="31"/>
    </row>
    <row r="317" spans="1:22" ht="12.75" customHeight="1" x14ac:dyDescent="0.35">
      <c r="A317" s="31"/>
      <c r="B317" s="31"/>
      <c r="C317" s="31"/>
      <c r="D317" s="31"/>
      <c r="E317" s="31"/>
      <c r="F317" s="31"/>
      <c r="G317" s="31"/>
      <c r="H317" s="31"/>
      <c r="I317" s="31"/>
      <c r="J317" s="31"/>
      <c r="K317" s="31"/>
      <c r="L317" s="31"/>
      <c r="Q317" s="31"/>
      <c r="R317" s="31"/>
      <c r="S317" s="31"/>
      <c r="T317" s="31"/>
      <c r="U317" s="31"/>
      <c r="V317" s="31"/>
    </row>
    <row r="318" spans="1:22" ht="12.75" customHeight="1" x14ac:dyDescent="0.35">
      <c r="A318" s="31"/>
      <c r="B318" s="31"/>
      <c r="C318" s="31"/>
      <c r="D318" s="31"/>
      <c r="E318" s="31"/>
      <c r="F318" s="31"/>
      <c r="G318" s="31"/>
      <c r="H318" s="31"/>
      <c r="I318" s="31"/>
      <c r="J318" s="31"/>
      <c r="K318" s="31"/>
      <c r="L318" s="31"/>
      <c r="Q318" s="31"/>
      <c r="R318" s="31"/>
      <c r="S318" s="31"/>
      <c r="T318" s="31"/>
      <c r="U318" s="31"/>
      <c r="V318" s="31"/>
    </row>
    <row r="319" spans="1:22" ht="12.75" customHeight="1" x14ac:dyDescent="0.35">
      <c r="A319" s="31"/>
      <c r="B319" s="31"/>
      <c r="C319" s="31"/>
      <c r="D319" s="31"/>
      <c r="E319" s="31"/>
      <c r="F319" s="31"/>
      <c r="G319" s="31"/>
      <c r="H319" s="31"/>
      <c r="I319" s="31"/>
      <c r="J319" s="31"/>
      <c r="K319" s="31"/>
      <c r="L319" s="31"/>
      <c r="Q319" s="31"/>
      <c r="R319" s="31"/>
      <c r="S319" s="31"/>
      <c r="T319" s="31"/>
      <c r="U319" s="31"/>
      <c r="V319" s="31"/>
    </row>
    <row r="320" spans="1:22" ht="12.75" customHeight="1" x14ac:dyDescent="0.35">
      <c r="A320" s="31"/>
      <c r="B320" s="31"/>
      <c r="C320" s="31"/>
      <c r="D320" s="31"/>
      <c r="E320" s="31"/>
      <c r="F320" s="31"/>
      <c r="G320" s="31"/>
      <c r="H320" s="31"/>
      <c r="I320" s="31"/>
      <c r="J320" s="31"/>
      <c r="K320" s="31"/>
      <c r="L320" s="31"/>
      <c r="Q320" s="31"/>
      <c r="R320" s="31"/>
      <c r="S320" s="31"/>
      <c r="T320" s="31"/>
      <c r="U320" s="31"/>
      <c r="V320" s="31"/>
    </row>
    <row r="321" spans="1:22" ht="12.75" customHeight="1" x14ac:dyDescent="0.35">
      <c r="A321" s="31"/>
      <c r="B321" s="31"/>
      <c r="C321" s="31"/>
      <c r="D321" s="31"/>
      <c r="E321" s="31"/>
      <c r="F321" s="31"/>
      <c r="G321" s="31"/>
      <c r="H321" s="31"/>
      <c r="I321" s="31"/>
      <c r="J321" s="31"/>
      <c r="K321" s="31"/>
      <c r="L321" s="31"/>
      <c r="Q321" s="31"/>
      <c r="R321" s="31"/>
      <c r="S321" s="31"/>
      <c r="T321" s="31"/>
      <c r="U321" s="31"/>
      <c r="V321" s="31"/>
    </row>
    <row r="322" spans="1:22" ht="12.75" customHeight="1" x14ac:dyDescent="0.35">
      <c r="A322" s="31"/>
      <c r="B322" s="31"/>
      <c r="C322" s="31"/>
      <c r="D322" s="31"/>
      <c r="E322" s="31"/>
      <c r="F322" s="31"/>
      <c r="G322" s="31"/>
      <c r="H322" s="31"/>
      <c r="I322" s="31"/>
      <c r="J322" s="31"/>
      <c r="K322" s="31"/>
      <c r="L322" s="31"/>
      <c r="Q322" s="31"/>
      <c r="R322" s="31"/>
      <c r="S322" s="31"/>
      <c r="T322" s="31"/>
      <c r="U322" s="31"/>
      <c r="V322" s="31"/>
    </row>
    <row r="323" spans="1:22" ht="12.75" customHeight="1" x14ac:dyDescent="0.35">
      <c r="A323" s="31"/>
      <c r="B323" s="31"/>
      <c r="C323" s="31"/>
      <c r="D323" s="31"/>
      <c r="E323" s="31"/>
      <c r="F323" s="31"/>
      <c r="G323" s="31"/>
      <c r="H323" s="31"/>
      <c r="I323" s="31"/>
      <c r="J323" s="31"/>
      <c r="K323" s="31"/>
      <c r="L323" s="31"/>
      <c r="Q323" s="31"/>
      <c r="R323" s="31"/>
      <c r="S323" s="31"/>
      <c r="T323" s="31"/>
      <c r="U323" s="31"/>
      <c r="V323" s="31"/>
    </row>
    <row r="324" spans="1:22" ht="12.75" customHeight="1" x14ac:dyDescent="0.35">
      <c r="A324" s="31"/>
      <c r="B324" s="31"/>
      <c r="C324" s="31"/>
      <c r="D324" s="31"/>
      <c r="E324" s="31"/>
      <c r="F324" s="31"/>
      <c r="G324" s="31"/>
      <c r="H324" s="31"/>
      <c r="I324" s="31"/>
      <c r="J324" s="31"/>
      <c r="K324" s="31"/>
      <c r="L324" s="31"/>
      <c r="Q324" s="31"/>
      <c r="R324" s="31"/>
      <c r="S324" s="31"/>
      <c r="T324" s="31"/>
      <c r="U324" s="31"/>
      <c r="V324" s="31"/>
    </row>
    <row r="325" spans="1:22" ht="12.75" customHeight="1" x14ac:dyDescent="0.35">
      <c r="A325" s="31"/>
      <c r="B325" s="31"/>
      <c r="C325" s="31"/>
      <c r="D325" s="31"/>
      <c r="E325" s="31"/>
      <c r="F325" s="31"/>
      <c r="G325" s="31"/>
      <c r="H325" s="31"/>
      <c r="I325" s="31"/>
      <c r="J325" s="31"/>
      <c r="K325" s="31"/>
      <c r="L325" s="31"/>
      <c r="Q325" s="31"/>
      <c r="R325" s="31"/>
      <c r="S325" s="31"/>
      <c r="T325" s="31"/>
      <c r="U325" s="31"/>
      <c r="V325" s="31"/>
    </row>
    <row r="326" spans="1:22" ht="12.75" customHeight="1" x14ac:dyDescent="0.35">
      <c r="A326" s="31"/>
      <c r="B326" s="31"/>
      <c r="C326" s="31"/>
      <c r="D326" s="31"/>
      <c r="E326" s="31"/>
      <c r="F326" s="31"/>
      <c r="G326" s="31"/>
      <c r="H326" s="31"/>
      <c r="I326" s="31"/>
      <c r="J326" s="31"/>
      <c r="K326" s="31"/>
      <c r="L326" s="31"/>
      <c r="Q326" s="31"/>
      <c r="R326" s="31"/>
      <c r="S326" s="31"/>
      <c r="T326" s="31"/>
      <c r="U326" s="31"/>
      <c r="V326" s="31"/>
    </row>
    <row r="327" spans="1:22" ht="12.75" customHeight="1" x14ac:dyDescent="0.35">
      <c r="A327" s="31"/>
      <c r="B327" s="31"/>
      <c r="C327" s="31"/>
      <c r="D327" s="31"/>
      <c r="E327" s="31"/>
      <c r="F327" s="31"/>
      <c r="G327" s="31"/>
      <c r="H327" s="31"/>
      <c r="I327" s="31"/>
      <c r="J327" s="31"/>
      <c r="K327" s="31"/>
      <c r="L327" s="31"/>
      <c r="Q327" s="31"/>
      <c r="R327" s="31"/>
      <c r="S327" s="31"/>
      <c r="T327" s="31"/>
      <c r="U327" s="31"/>
      <c r="V327" s="31"/>
    </row>
    <row r="328" spans="1:22" ht="12.75" customHeight="1" x14ac:dyDescent="0.35">
      <c r="A328" s="31"/>
      <c r="B328" s="31"/>
      <c r="C328" s="31"/>
      <c r="D328" s="31"/>
      <c r="E328" s="31"/>
      <c r="F328" s="31"/>
      <c r="G328" s="31"/>
      <c r="H328" s="31"/>
      <c r="I328" s="31"/>
      <c r="J328" s="31"/>
      <c r="K328" s="31"/>
      <c r="L328" s="31"/>
      <c r="Q328" s="31"/>
      <c r="R328" s="31"/>
      <c r="S328" s="31"/>
      <c r="T328" s="31"/>
      <c r="U328" s="31"/>
      <c r="V328" s="31"/>
    </row>
    <row r="329" spans="1:22" ht="12.75" customHeight="1" x14ac:dyDescent="0.35">
      <c r="A329" s="31"/>
      <c r="B329" s="31"/>
      <c r="C329" s="31"/>
      <c r="D329" s="31"/>
      <c r="E329" s="31"/>
      <c r="F329" s="31"/>
      <c r="G329" s="31"/>
      <c r="H329" s="31"/>
      <c r="I329" s="31"/>
      <c r="J329" s="31"/>
      <c r="K329" s="31"/>
      <c r="L329" s="31"/>
      <c r="Q329" s="31"/>
      <c r="R329" s="31"/>
      <c r="S329" s="31"/>
      <c r="T329" s="31"/>
      <c r="U329" s="31"/>
      <c r="V329" s="31"/>
    </row>
    <row r="330" spans="1:22" ht="12.75" customHeight="1" x14ac:dyDescent="0.35">
      <c r="A330" s="31"/>
      <c r="B330" s="31"/>
      <c r="C330" s="31"/>
      <c r="D330" s="31"/>
      <c r="E330" s="31"/>
      <c r="F330" s="31"/>
      <c r="G330" s="31"/>
      <c r="H330" s="31"/>
      <c r="I330" s="31"/>
      <c r="J330" s="31"/>
      <c r="K330" s="31"/>
      <c r="L330" s="31"/>
      <c r="Q330" s="31"/>
      <c r="R330" s="31"/>
      <c r="S330" s="31"/>
      <c r="T330" s="31"/>
      <c r="U330" s="31"/>
      <c r="V330" s="31"/>
    </row>
    <row r="331" spans="1:22" ht="12.75" customHeight="1" x14ac:dyDescent="0.35">
      <c r="A331" s="31"/>
      <c r="B331" s="31"/>
      <c r="C331" s="31"/>
      <c r="D331" s="31"/>
      <c r="E331" s="31"/>
      <c r="F331" s="31"/>
      <c r="G331" s="31"/>
      <c r="H331" s="31"/>
      <c r="I331" s="31"/>
      <c r="J331" s="31"/>
      <c r="K331" s="31"/>
      <c r="L331" s="31"/>
      <c r="Q331" s="31"/>
      <c r="R331" s="31"/>
      <c r="S331" s="31"/>
      <c r="T331" s="31"/>
      <c r="U331" s="31"/>
      <c r="V331" s="31"/>
    </row>
    <row r="332" spans="1:22" ht="12.75" customHeight="1" x14ac:dyDescent="0.35">
      <c r="B332" s="31"/>
      <c r="C332" s="31"/>
      <c r="D332" s="31"/>
      <c r="E332" s="31"/>
      <c r="F332" s="31"/>
      <c r="G332" s="31"/>
      <c r="H332" s="31"/>
      <c r="I332" s="31"/>
      <c r="J332" s="31"/>
      <c r="K332" s="31"/>
      <c r="L332" s="31"/>
      <c r="Q332" s="31"/>
      <c r="R332" s="31"/>
      <c r="S332" s="31"/>
      <c r="T332" s="31"/>
      <c r="U332" s="31"/>
      <c r="V332" s="31"/>
    </row>
    <row r="333" spans="1:22" ht="12.75" customHeight="1" x14ac:dyDescent="0.35">
      <c r="B333" s="31"/>
      <c r="C333" s="31"/>
      <c r="D333" s="31"/>
      <c r="E333" s="31"/>
      <c r="F333" s="31"/>
      <c r="G333" s="31"/>
      <c r="H333" s="31"/>
      <c r="I333" s="31"/>
      <c r="J333" s="31"/>
      <c r="K333" s="31"/>
      <c r="L333" s="31"/>
      <c r="Q333" s="31"/>
      <c r="R333" s="31"/>
      <c r="S333" s="31"/>
      <c r="T333" s="31"/>
      <c r="U333" s="31"/>
      <c r="V333" s="31"/>
    </row>
    <row r="334" spans="1:22" ht="12.75" customHeight="1" x14ac:dyDescent="0.35">
      <c r="B334" s="31"/>
      <c r="C334" s="31"/>
      <c r="D334" s="31"/>
      <c r="E334" s="31"/>
      <c r="F334" s="31"/>
      <c r="G334" s="31"/>
      <c r="H334" s="31"/>
      <c r="I334" s="31"/>
      <c r="J334" s="31"/>
      <c r="K334" s="31"/>
      <c r="L334" s="31"/>
      <c r="Q334" s="31"/>
      <c r="R334" s="31"/>
      <c r="S334" s="31"/>
      <c r="T334" s="31"/>
      <c r="U334" s="31"/>
      <c r="V334" s="31"/>
    </row>
    <row r="335" spans="1:22" ht="12.75" customHeight="1" x14ac:dyDescent="0.35">
      <c r="B335" s="31"/>
      <c r="C335" s="31"/>
      <c r="D335" s="31"/>
      <c r="E335" s="31"/>
      <c r="F335" s="31"/>
      <c r="G335" s="31"/>
      <c r="H335" s="31"/>
      <c r="I335" s="31"/>
      <c r="J335" s="31"/>
      <c r="K335" s="31"/>
      <c r="L335" s="31"/>
      <c r="Q335" s="31"/>
      <c r="R335" s="31"/>
      <c r="S335" s="31"/>
      <c r="T335" s="31"/>
      <c r="U335" s="31"/>
      <c r="V335" s="31"/>
    </row>
    <row r="336" spans="1:22" ht="12.75" customHeight="1" x14ac:dyDescent="0.35">
      <c r="B336" s="31"/>
      <c r="C336" s="31"/>
      <c r="D336" s="31"/>
      <c r="E336" s="31"/>
      <c r="F336" s="31"/>
      <c r="G336" s="31"/>
      <c r="H336" s="31"/>
      <c r="I336" s="31"/>
      <c r="J336" s="31"/>
      <c r="K336" s="31"/>
      <c r="L336" s="31"/>
      <c r="Q336" s="31"/>
      <c r="R336" s="31"/>
      <c r="S336" s="31"/>
      <c r="T336" s="31"/>
      <c r="U336" s="31"/>
      <c r="V336" s="31"/>
    </row>
    <row r="337" spans="2:22" ht="12.75" customHeight="1" x14ac:dyDescent="0.35">
      <c r="B337" s="31"/>
      <c r="C337" s="31"/>
      <c r="D337" s="31"/>
      <c r="E337" s="31"/>
      <c r="F337" s="31"/>
      <c r="G337" s="31"/>
      <c r="H337" s="31"/>
      <c r="I337" s="31"/>
      <c r="J337" s="31"/>
      <c r="K337" s="31"/>
      <c r="L337" s="31"/>
      <c r="Q337" s="31"/>
      <c r="R337" s="31"/>
      <c r="S337" s="31"/>
      <c r="T337" s="31"/>
      <c r="U337" s="31"/>
      <c r="V337" s="31"/>
    </row>
    <row r="338" spans="2:22" ht="12.75" customHeight="1" x14ac:dyDescent="0.35">
      <c r="B338" s="31"/>
      <c r="C338" s="31"/>
      <c r="D338" s="31"/>
      <c r="E338" s="31"/>
      <c r="F338" s="31"/>
      <c r="G338" s="31"/>
      <c r="H338" s="31"/>
      <c r="I338" s="31"/>
      <c r="J338" s="31"/>
      <c r="K338" s="31"/>
      <c r="L338" s="31"/>
      <c r="Q338" s="31"/>
      <c r="R338" s="31"/>
      <c r="S338" s="31"/>
      <c r="T338" s="31"/>
      <c r="U338" s="31"/>
      <c r="V338" s="31"/>
    </row>
    <row r="339" spans="2:22" ht="12.75" customHeight="1" x14ac:dyDescent="0.35">
      <c r="B339" s="31"/>
      <c r="C339" s="31"/>
      <c r="D339" s="31"/>
      <c r="E339" s="31"/>
      <c r="F339" s="31"/>
      <c r="G339" s="31"/>
      <c r="H339" s="31"/>
      <c r="I339" s="31"/>
      <c r="J339" s="31"/>
      <c r="K339" s="31"/>
      <c r="L339" s="31"/>
      <c r="Q339" s="31"/>
      <c r="R339" s="31"/>
      <c r="S339" s="31"/>
      <c r="T339" s="31"/>
      <c r="U339" s="31"/>
      <c r="V339" s="31"/>
    </row>
    <row r="340" spans="2:22" ht="12.75" customHeight="1" x14ac:dyDescent="0.35">
      <c r="B340" s="31"/>
      <c r="C340" s="31"/>
      <c r="D340" s="31"/>
      <c r="E340" s="31"/>
      <c r="F340" s="31"/>
      <c r="G340" s="31"/>
      <c r="H340" s="31"/>
      <c r="I340" s="31"/>
      <c r="J340" s="31"/>
      <c r="K340" s="31"/>
      <c r="L340" s="31"/>
      <c r="Q340" s="31"/>
      <c r="R340" s="31"/>
      <c r="S340" s="31"/>
      <c r="T340" s="31"/>
      <c r="U340" s="31"/>
      <c r="V340" s="31"/>
    </row>
    <row r="341" spans="2:22" ht="12.75" customHeight="1" x14ac:dyDescent="0.35">
      <c r="B341" s="31"/>
      <c r="C341" s="31"/>
      <c r="D341" s="31"/>
      <c r="E341" s="31"/>
      <c r="F341" s="31"/>
      <c r="G341" s="31"/>
      <c r="H341" s="31"/>
      <c r="I341" s="31"/>
      <c r="J341" s="31"/>
      <c r="K341" s="31"/>
      <c r="L341" s="31"/>
      <c r="Q341" s="31"/>
      <c r="R341" s="31"/>
      <c r="S341" s="31"/>
      <c r="T341" s="31"/>
      <c r="U341" s="31"/>
      <c r="V341" s="31"/>
    </row>
    <row r="342" spans="2:22" ht="12.75" customHeight="1" x14ac:dyDescent="0.35">
      <c r="B342" s="31"/>
      <c r="C342" s="31"/>
      <c r="D342" s="31"/>
      <c r="E342" s="31"/>
      <c r="F342" s="31"/>
      <c r="G342" s="31"/>
      <c r="H342" s="31"/>
      <c r="I342" s="31"/>
      <c r="J342" s="31"/>
      <c r="K342" s="31"/>
      <c r="L342" s="31"/>
      <c r="Q342" s="31"/>
      <c r="R342" s="31"/>
      <c r="S342" s="31"/>
      <c r="T342" s="31"/>
      <c r="U342" s="31"/>
      <c r="V342" s="31"/>
    </row>
    <row r="343" spans="2:22" ht="12.75" customHeight="1" x14ac:dyDescent="0.35">
      <c r="B343" s="31"/>
      <c r="C343" s="31"/>
      <c r="D343" s="31"/>
      <c r="E343" s="31"/>
      <c r="F343" s="31"/>
      <c r="G343" s="31"/>
      <c r="H343" s="31"/>
      <c r="I343" s="31"/>
      <c r="J343" s="31"/>
      <c r="K343" s="31"/>
      <c r="L343" s="31"/>
      <c r="Q343" s="31"/>
      <c r="R343" s="31"/>
      <c r="S343" s="31"/>
      <c r="T343" s="31"/>
      <c r="U343" s="31"/>
      <c r="V343" s="31"/>
    </row>
    <row r="344" spans="2:22" ht="12.75" customHeight="1" x14ac:dyDescent="0.35">
      <c r="B344" s="31"/>
      <c r="C344" s="31"/>
      <c r="D344" s="31"/>
      <c r="E344" s="31"/>
      <c r="F344" s="31"/>
      <c r="G344" s="31"/>
      <c r="H344" s="31"/>
      <c r="I344" s="31"/>
      <c r="J344" s="31"/>
      <c r="K344" s="31"/>
      <c r="L344" s="31"/>
      <c r="Q344" s="31"/>
      <c r="R344" s="31"/>
      <c r="S344" s="31"/>
      <c r="T344" s="31"/>
      <c r="U344" s="31"/>
      <c r="V344" s="31"/>
    </row>
    <row r="345" spans="2:22" ht="12.75" customHeight="1" x14ac:dyDescent="0.35">
      <c r="B345" s="31"/>
      <c r="C345" s="31"/>
      <c r="D345" s="31"/>
      <c r="E345" s="31"/>
      <c r="F345" s="31"/>
      <c r="G345" s="31"/>
      <c r="H345" s="31"/>
      <c r="I345" s="31"/>
      <c r="J345" s="31"/>
      <c r="K345" s="31"/>
      <c r="L345" s="31"/>
      <c r="Q345" s="31"/>
      <c r="R345" s="31"/>
      <c r="S345" s="31"/>
      <c r="T345" s="31"/>
      <c r="U345" s="31"/>
      <c r="V345" s="31"/>
    </row>
    <row r="346" spans="2:22" ht="12.75" customHeight="1" x14ac:dyDescent="0.35">
      <c r="B346" s="31"/>
      <c r="C346" s="31"/>
      <c r="D346" s="31"/>
      <c r="E346" s="31"/>
      <c r="F346" s="31"/>
      <c r="G346" s="31"/>
      <c r="H346" s="31"/>
      <c r="I346" s="31"/>
      <c r="J346" s="31"/>
      <c r="K346" s="31"/>
      <c r="L346" s="31"/>
      <c r="Q346" s="31"/>
      <c r="R346" s="31"/>
      <c r="S346" s="31"/>
      <c r="T346" s="31"/>
      <c r="U346" s="31"/>
      <c r="V346" s="31"/>
    </row>
    <row r="347" spans="2:22" ht="12.75" customHeight="1" x14ac:dyDescent="0.35">
      <c r="B347" s="31"/>
      <c r="C347" s="31"/>
      <c r="D347" s="31"/>
      <c r="E347" s="31"/>
      <c r="F347" s="31"/>
      <c r="G347" s="31"/>
      <c r="H347" s="31"/>
      <c r="I347" s="31"/>
      <c r="J347" s="31"/>
      <c r="K347" s="31"/>
      <c r="L347" s="31"/>
      <c r="Q347" s="31"/>
      <c r="R347" s="31"/>
      <c r="S347" s="31"/>
      <c r="T347" s="31"/>
      <c r="U347" s="31"/>
      <c r="V347" s="31"/>
    </row>
    <row r="348" spans="2:22" ht="12.75" customHeight="1" x14ac:dyDescent="0.35">
      <c r="B348" s="31"/>
      <c r="C348" s="31"/>
      <c r="D348" s="31"/>
      <c r="E348" s="31"/>
      <c r="F348" s="31"/>
      <c r="G348" s="31"/>
      <c r="H348" s="31"/>
      <c r="I348" s="31"/>
      <c r="J348" s="31"/>
      <c r="K348" s="31"/>
      <c r="L348" s="31"/>
      <c r="Q348" s="31"/>
      <c r="R348" s="31"/>
      <c r="S348" s="31"/>
      <c r="T348" s="31"/>
      <c r="U348" s="31"/>
      <c r="V348" s="31"/>
    </row>
    <row r="349" spans="2:22" ht="12.75" customHeight="1" x14ac:dyDescent="0.35">
      <c r="B349" s="31"/>
      <c r="C349" s="31"/>
      <c r="D349" s="31"/>
      <c r="E349" s="31"/>
      <c r="F349" s="31"/>
      <c r="G349" s="31"/>
      <c r="H349" s="31"/>
      <c r="I349" s="31"/>
      <c r="J349" s="31"/>
      <c r="K349" s="31"/>
      <c r="L349" s="31"/>
      <c r="Q349" s="31"/>
      <c r="R349" s="31"/>
      <c r="S349" s="31"/>
      <c r="T349" s="31"/>
      <c r="U349" s="31"/>
      <c r="V349" s="31"/>
    </row>
    <row r="350" spans="2:22" ht="12.75" customHeight="1" x14ac:dyDescent="0.35">
      <c r="B350" s="31"/>
      <c r="C350" s="31"/>
      <c r="D350" s="31"/>
      <c r="E350" s="31"/>
      <c r="F350" s="31"/>
      <c r="G350" s="31"/>
      <c r="H350" s="31"/>
      <c r="I350" s="31"/>
      <c r="J350" s="31"/>
      <c r="K350" s="31"/>
      <c r="L350" s="31"/>
      <c r="Q350" s="31"/>
      <c r="R350" s="31"/>
      <c r="S350" s="31"/>
      <c r="T350" s="31"/>
      <c r="U350" s="31"/>
      <c r="V350" s="31"/>
    </row>
    <row r="351" spans="2:22" ht="12.75" customHeight="1" x14ac:dyDescent="0.35">
      <c r="B351" s="31"/>
      <c r="C351" s="31"/>
      <c r="D351" s="31"/>
      <c r="E351" s="31"/>
      <c r="F351" s="31"/>
      <c r="G351" s="31"/>
      <c r="H351" s="31"/>
      <c r="I351" s="31"/>
      <c r="J351" s="31"/>
      <c r="K351" s="31"/>
      <c r="L351" s="31"/>
      <c r="Q351" s="31"/>
      <c r="R351" s="31"/>
      <c r="S351" s="31"/>
      <c r="T351" s="31"/>
      <c r="U351" s="31"/>
      <c r="V351" s="31"/>
    </row>
    <row r="352" spans="2:22" ht="12.75" customHeight="1" x14ac:dyDescent="0.35">
      <c r="B352" s="31"/>
      <c r="C352" s="31"/>
      <c r="D352" s="31"/>
      <c r="E352" s="31"/>
      <c r="F352" s="31"/>
      <c r="G352" s="31"/>
      <c r="H352" s="31"/>
      <c r="I352" s="31"/>
      <c r="J352" s="31"/>
      <c r="K352" s="31"/>
      <c r="L352" s="31"/>
      <c r="Q352" s="31"/>
      <c r="R352" s="31"/>
      <c r="S352" s="31"/>
      <c r="T352" s="31"/>
      <c r="U352" s="31"/>
      <c r="V352" s="31"/>
    </row>
    <row r="353" spans="2:22" ht="12.75" customHeight="1" x14ac:dyDescent="0.35">
      <c r="B353" s="31"/>
      <c r="C353" s="31"/>
      <c r="D353" s="31"/>
      <c r="E353" s="31"/>
      <c r="F353" s="31"/>
      <c r="G353" s="31"/>
      <c r="H353" s="31"/>
      <c r="I353" s="31"/>
      <c r="J353" s="31"/>
      <c r="K353" s="31"/>
      <c r="L353" s="31"/>
      <c r="Q353" s="31"/>
      <c r="R353" s="31"/>
      <c r="S353" s="31"/>
      <c r="T353" s="31"/>
      <c r="U353" s="31"/>
      <c r="V353" s="31"/>
    </row>
    <row r="354" spans="2:22" ht="12.75" customHeight="1" x14ac:dyDescent="0.35">
      <c r="B354" s="31"/>
      <c r="C354" s="31"/>
      <c r="D354" s="31"/>
      <c r="E354" s="31"/>
      <c r="F354" s="31"/>
      <c r="G354" s="31"/>
      <c r="H354" s="31"/>
      <c r="I354" s="31"/>
      <c r="J354" s="31"/>
      <c r="K354" s="31"/>
      <c r="L354" s="31"/>
      <c r="Q354" s="31"/>
      <c r="R354" s="31"/>
      <c r="S354" s="31"/>
      <c r="T354" s="31"/>
      <c r="U354" s="31"/>
      <c r="V354" s="31"/>
    </row>
    <row r="355" spans="2:22" ht="12.75" customHeight="1" x14ac:dyDescent="0.35">
      <c r="B355" s="31"/>
      <c r="C355" s="31"/>
      <c r="D355" s="31"/>
      <c r="E355" s="31"/>
      <c r="F355" s="31"/>
      <c r="G355" s="31"/>
      <c r="H355" s="31"/>
      <c r="I355" s="31"/>
      <c r="J355" s="31"/>
      <c r="K355" s="31"/>
      <c r="L355" s="31"/>
      <c r="Q355" s="31"/>
      <c r="R355" s="31"/>
      <c r="S355" s="31"/>
      <c r="T355" s="31"/>
      <c r="U355" s="31"/>
      <c r="V355" s="31"/>
    </row>
    <row r="356" spans="2:22" ht="12.75" customHeight="1" x14ac:dyDescent="0.35">
      <c r="B356" s="31"/>
      <c r="C356" s="31"/>
      <c r="D356" s="31"/>
      <c r="E356" s="31"/>
      <c r="F356" s="31"/>
      <c r="G356" s="31"/>
      <c r="H356" s="31"/>
      <c r="I356" s="31"/>
      <c r="J356" s="31"/>
      <c r="K356" s="31"/>
      <c r="L356" s="31"/>
      <c r="Q356" s="31"/>
      <c r="R356" s="31"/>
      <c r="S356" s="31"/>
      <c r="T356" s="31"/>
      <c r="U356" s="31"/>
      <c r="V356" s="31"/>
    </row>
    <row r="357" spans="2:22" ht="12.75" customHeight="1" x14ac:dyDescent="0.35">
      <c r="B357" s="31"/>
      <c r="C357" s="31"/>
      <c r="D357" s="31"/>
      <c r="E357" s="31"/>
      <c r="F357" s="31"/>
      <c r="G357" s="31"/>
      <c r="H357" s="31"/>
      <c r="I357" s="31"/>
      <c r="J357" s="31"/>
      <c r="K357" s="31"/>
      <c r="L357" s="31"/>
      <c r="Q357" s="31"/>
      <c r="R357" s="31"/>
      <c r="S357" s="31"/>
      <c r="T357" s="31"/>
      <c r="U357" s="31"/>
      <c r="V357" s="31"/>
    </row>
    <row r="358" spans="2:22" ht="12.75" customHeight="1" x14ac:dyDescent="0.35">
      <c r="B358" s="31"/>
      <c r="C358" s="31"/>
      <c r="D358" s="31"/>
      <c r="E358" s="31"/>
      <c r="F358" s="31"/>
      <c r="G358" s="31"/>
      <c r="H358" s="31"/>
      <c r="I358" s="31"/>
      <c r="J358" s="31"/>
      <c r="K358" s="31"/>
      <c r="L358" s="31"/>
      <c r="Q358" s="31"/>
      <c r="R358" s="31"/>
      <c r="S358" s="31"/>
      <c r="T358" s="31"/>
      <c r="U358" s="31"/>
      <c r="V358" s="31"/>
    </row>
    <row r="359" spans="2:22" ht="12.75" customHeight="1" x14ac:dyDescent="0.35">
      <c r="B359" s="31"/>
      <c r="C359" s="31"/>
      <c r="D359" s="31"/>
      <c r="E359" s="31"/>
      <c r="F359" s="31"/>
      <c r="G359" s="31"/>
      <c r="H359" s="31"/>
      <c r="I359" s="31"/>
      <c r="J359" s="31"/>
      <c r="K359" s="31"/>
      <c r="L359" s="31"/>
      <c r="Q359" s="31"/>
      <c r="R359" s="31"/>
      <c r="S359" s="31"/>
      <c r="T359" s="31"/>
      <c r="U359" s="31"/>
      <c r="V359" s="31"/>
    </row>
    <row r="360" spans="2:22" ht="12.75" customHeight="1" x14ac:dyDescent="0.35">
      <c r="B360" s="31"/>
      <c r="C360" s="31"/>
      <c r="D360" s="31"/>
      <c r="E360" s="31"/>
      <c r="F360" s="31"/>
      <c r="G360" s="31"/>
      <c r="H360" s="31"/>
      <c r="I360" s="31"/>
      <c r="J360" s="31"/>
      <c r="K360" s="31"/>
      <c r="L360" s="31"/>
      <c r="Q360" s="31"/>
      <c r="R360" s="31"/>
      <c r="S360" s="31"/>
      <c r="T360" s="31"/>
      <c r="U360" s="31"/>
      <c r="V360" s="31"/>
    </row>
    <row r="361" spans="2:22" ht="12.75" customHeight="1" x14ac:dyDescent="0.35">
      <c r="B361" s="31"/>
      <c r="C361" s="31"/>
      <c r="D361" s="31"/>
      <c r="E361" s="31"/>
      <c r="F361" s="31"/>
      <c r="G361" s="31"/>
      <c r="H361" s="31"/>
      <c r="I361" s="31"/>
      <c r="J361" s="31"/>
      <c r="K361" s="31"/>
      <c r="L361" s="31"/>
      <c r="Q361" s="31"/>
      <c r="R361" s="31"/>
      <c r="S361" s="31"/>
      <c r="T361" s="31"/>
      <c r="U361" s="31"/>
      <c r="V361" s="31"/>
    </row>
    <row r="362" spans="2:22" ht="12.75" customHeight="1" x14ac:dyDescent="0.35">
      <c r="B362" s="31"/>
      <c r="C362" s="31"/>
      <c r="D362" s="31"/>
      <c r="E362" s="31"/>
      <c r="F362" s="31"/>
      <c r="G362" s="31"/>
      <c r="H362" s="31"/>
      <c r="I362" s="31"/>
      <c r="J362" s="31"/>
      <c r="K362" s="31"/>
      <c r="L362" s="31"/>
      <c r="Q362" s="31"/>
      <c r="R362" s="31"/>
      <c r="S362" s="31"/>
      <c r="T362" s="31"/>
      <c r="U362" s="31"/>
      <c r="V362" s="31"/>
    </row>
    <row r="363" spans="2:22" ht="12.75" customHeight="1" x14ac:dyDescent="0.35">
      <c r="B363" s="31"/>
      <c r="C363" s="31"/>
      <c r="D363" s="31"/>
      <c r="E363" s="31"/>
      <c r="F363" s="31"/>
      <c r="G363" s="31"/>
      <c r="H363" s="31"/>
      <c r="I363" s="31"/>
      <c r="J363" s="31"/>
      <c r="K363" s="31"/>
      <c r="L363" s="31"/>
      <c r="Q363" s="31"/>
      <c r="R363" s="31"/>
      <c r="S363" s="31"/>
      <c r="T363" s="31"/>
      <c r="U363" s="31"/>
      <c r="V363" s="31"/>
    </row>
    <row r="364" spans="2:22" ht="12.75" customHeight="1" x14ac:dyDescent="0.35">
      <c r="B364" s="31"/>
      <c r="C364" s="31"/>
      <c r="D364" s="31"/>
      <c r="E364" s="31"/>
      <c r="F364" s="31"/>
      <c r="G364" s="31"/>
      <c r="H364" s="31"/>
      <c r="I364" s="31"/>
      <c r="J364" s="31"/>
      <c r="K364" s="31"/>
      <c r="L364" s="31"/>
      <c r="Q364" s="31"/>
      <c r="R364" s="31"/>
      <c r="S364" s="31"/>
      <c r="T364" s="31"/>
      <c r="U364" s="31"/>
      <c r="V364" s="31"/>
    </row>
    <row r="365" spans="2:22" ht="12.75" customHeight="1" x14ac:dyDescent="0.35">
      <c r="B365" s="31"/>
      <c r="C365" s="31"/>
      <c r="D365" s="31"/>
      <c r="E365" s="31"/>
      <c r="F365" s="31"/>
      <c r="G365" s="31"/>
      <c r="H365" s="31"/>
      <c r="I365" s="31"/>
      <c r="J365" s="31"/>
      <c r="K365" s="31"/>
      <c r="L365" s="31"/>
      <c r="Q365" s="31"/>
      <c r="R365" s="31"/>
      <c r="S365" s="31"/>
      <c r="T365" s="31"/>
      <c r="U365" s="31"/>
      <c r="V365" s="31"/>
    </row>
    <row r="366" spans="2:22" ht="12.75" customHeight="1" x14ac:dyDescent="0.35">
      <c r="B366" s="31"/>
      <c r="C366" s="31"/>
      <c r="D366" s="31"/>
      <c r="E366" s="31"/>
      <c r="F366" s="31"/>
      <c r="G366" s="31"/>
      <c r="H366" s="31"/>
      <c r="I366" s="31"/>
      <c r="J366" s="31"/>
      <c r="K366" s="31"/>
      <c r="L366" s="31"/>
      <c r="Q366" s="31"/>
      <c r="R366" s="31"/>
      <c r="S366" s="31"/>
      <c r="T366" s="31"/>
      <c r="U366" s="31"/>
      <c r="V366" s="31"/>
    </row>
    <row r="367" spans="2:22" ht="12.75" customHeight="1" x14ac:dyDescent="0.35">
      <c r="B367" s="31"/>
      <c r="C367" s="31"/>
      <c r="D367" s="31"/>
      <c r="E367" s="31"/>
      <c r="F367" s="31"/>
      <c r="G367" s="31"/>
      <c r="H367" s="31"/>
      <c r="I367" s="31"/>
      <c r="J367" s="31"/>
      <c r="K367" s="31"/>
      <c r="L367" s="31"/>
      <c r="Q367" s="31"/>
      <c r="R367" s="31"/>
      <c r="S367" s="31"/>
      <c r="T367" s="31"/>
      <c r="U367" s="31"/>
      <c r="V367" s="31"/>
    </row>
    <row r="368" spans="2:22" ht="12.75" customHeight="1" x14ac:dyDescent="0.35">
      <c r="B368" s="31"/>
      <c r="C368" s="31"/>
      <c r="D368" s="31"/>
      <c r="E368" s="31"/>
      <c r="F368" s="31"/>
      <c r="G368" s="31"/>
      <c r="H368" s="31"/>
      <c r="I368" s="31"/>
      <c r="J368" s="31"/>
      <c r="K368" s="31"/>
      <c r="L368" s="31"/>
      <c r="Q368" s="31"/>
      <c r="R368" s="31"/>
      <c r="S368" s="31"/>
      <c r="T368" s="31"/>
      <c r="U368" s="31"/>
      <c r="V368" s="31"/>
    </row>
    <row r="369" spans="2:22" ht="12.75" customHeight="1" x14ac:dyDescent="0.35">
      <c r="B369" s="31"/>
      <c r="C369" s="31"/>
      <c r="D369" s="31"/>
      <c r="E369" s="31"/>
      <c r="F369" s="31"/>
      <c r="G369" s="31"/>
      <c r="H369" s="31"/>
      <c r="I369" s="31"/>
      <c r="J369" s="31"/>
      <c r="K369" s="31"/>
      <c r="L369" s="31"/>
      <c r="Q369" s="31"/>
      <c r="R369" s="31"/>
      <c r="S369" s="31"/>
      <c r="T369" s="31"/>
      <c r="U369" s="31"/>
      <c r="V369" s="31"/>
    </row>
    <row r="370" spans="2:22" ht="12.75" customHeight="1" x14ac:dyDescent="0.35">
      <c r="B370" s="31"/>
      <c r="C370" s="31"/>
      <c r="D370" s="31"/>
      <c r="E370" s="31"/>
      <c r="F370" s="31"/>
      <c r="G370" s="31"/>
      <c r="H370" s="31"/>
      <c r="I370" s="31"/>
      <c r="J370" s="31"/>
      <c r="K370" s="31"/>
      <c r="L370" s="31"/>
      <c r="Q370" s="31"/>
      <c r="R370" s="31"/>
      <c r="S370" s="31"/>
      <c r="T370" s="31"/>
      <c r="U370" s="31"/>
      <c r="V370" s="31"/>
    </row>
    <row r="371" spans="2:22" ht="12.75" customHeight="1" x14ac:dyDescent="0.35">
      <c r="B371" s="31"/>
      <c r="C371" s="31"/>
      <c r="D371" s="31"/>
      <c r="E371" s="31"/>
      <c r="F371" s="31"/>
      <c r="G371" s="31"/>
      <c r="H371" s="31"/>
      <c r="I371" s="31"/>
      <c r="J371" s="31"/>
      <c r="K371" s="31"/>
      <c r="L371" s="31"/>
      <c r="Q371" s="31"/>
      <c r="R371" s="31"/>
      <c r="S371" s="31"/>
      <c r="T371" s="31"/>
      <c r="U371" s="31"/>
      <c r="V371" s="31"/>
    </row>
    <row r="372" spans="2:22" ht="12.75" customHeight="1" x14ac:dyDescent="0.35">
      <c r="B372" s="31"/>
      <c r="C372" s="31"/>
      <c r="D372" s="31"/>
      <c r="E372" s="31"/>
      <c r="F372" s="31"/>
      <c r="G372" s="31"/>
      <c r="H372" s="31"/>
      <c r="I372" s="31"/>
      <c r="J372" s="31"/>
      <c r="K372" s="31"/>
      <c r="L372" s="31"/>
      <c r="Q372" s="31"/>
      <c r="R372" s="31"/>
      <c r="S372" s="31"/>
      <c r="T372" s="31"/>
      <c r="U372" s="31"/>
      <c r="V372" s="31"/>
    </row>
    <row r="373" spans="2:22" ht="12.75" customHeight="1" x14ac:dyDescent="0.35">
      <c r="B373" s="31"/>
      <c r="C373" s="31"/>
      <c r="D373" s="31"/>
      <c r="E373" s="31"/>
      <c r="F373" s="31"/>
      <c r="G373" s="31"/>
      <c r="H373" s="31"/>
      <c r="I373" s="31"/>
      <c r="J373" s="31"/>
      <c r="K373" s="31"/>
      <c r="L373" s="31"/>
      <c r="Q373" s="31"/>
      <c r="R373" s="31"/>
      <c r="S373" s="31"/>
      <c r="T373" s="31"/>
      <c r="U373" s="31"/>
      <c r="V373" s="31"/>
    </row>
    <row r="374" spans="2:22" ht="12.75" customHeight="1" x14ac:dyDescent="0.35">
      <c r="B374" s="31"/>
      <c r="C374" s="31"/>
      <c r="D374" s="31"/>
      <c r="E374" s="31"/>
      <c r="F374" s="31"/>
      <c r="G374" s="31"/>
      <c r="H374" s="31"/>
      <c r="I374" s="31"/>
      <c r="J374" s="31"/>
      <c r="K374" s="31"/>
      <c r="L374" s="31"/>
      <c r="Q374" s="31"/>
      <c r="R374" s="31"/>
      <c r="S374" s="31"/>
      <c r="T374" s="31"/>
      <c r="U374" s="31"/>
      <c r="V374" s="31"/>
    </row>
    <row r="375" spans="2:22" ht="12.75" customHeight="1" x14ac:dyDescent="0.35">
      <c r="B375" s="31"/>
      <c r="C375" s="31"/>
      <c r="D375" s="31"/>
      <c r="E375" s="31"/>
      <c r="F375" s="31"/>
      <c r="G375" s="31"/>
      <c r="H375" s="31"/>
      <c r="I375" s="31"/>
      <c r="J375" s="31"/>
      <c r="K375" s="31"/>
      <c r="L375" s="31"/>
      <c r="Q375" s="31"/>
      <c r="R375" s="31"/>
      <c r="S375" s="31"/>
      <c r="T375" s="31"/>
      <c r="U375" s="31"/>
      <c r="V375" s="31"/>
    </row>
    <row r="376" spans="2:22" ht="12.75" customHeight="1" x14ac:dyDescent="0.35">
      <c r="B376" s="31"/>
      <c r="C376" s="31"/>
      <c r="D376" s="31"/>
      <c r="E376" s="31"/>
      <c r="F376" s="31"/>
      <c r="G376" s="31"/>
      <c r="H376" s="31"/>
      <c r="I376" s="31"/>
      <c r="J376" s="31"/>
      <c r="K376" s="31"/>
      <c r="L376" s="31"/>
      <c r="Q376" s="31"/>
      <c r="R376" s="31"/>
      <c r="S376" s="31"/>
      <c r="T376" s="31"/>
      <c r="U376" s="31"/>
      <c r="V376" s="31"/>
    </row>
    <row r="377" spans="2:22" ht="12.75" customHeight="1" x14ac:dyDescent="0.35">
      <c r="B377" s="31"/>
      <c r="C377" s="31"/>
      <c r="D377" s="31"/>
      <c r="E377" s="31"/>
      <c r="F377" s="31"/>
      <c r="G377" s="31"/>
      <c r="H377" s="31"/>
      <c r="I377" s="31"/>
      <c r="J377" s="31"/>
      <c r="K377" s="31"/>
      <c r="L377" s="31"/>
      <c r="Q377" s="31"/>
      <c r="R377" s="31"/>
      <c r="S377" s="31"/>
      <c r="T377" s="31"/>
      <c r="U377" s="31"/>
      <c r="V377" s="31"/>
    </row>
    <row r="378" spans="2:22" ht="12.75" customHeight="1" x14ac:dyDescent="0.35">
      <c r="B378" s="31"/>
      <c r="C378" s="31"/>
      <c r="D378" s="31"/>
      <c r="E378" s="31"/>
      <c r="F378" s="31"/>
      <c r="G378" s="31"/>
      <c r="H378" s="31"/>
      <c r="I378" s="31"/>
      <c r="J378" s="31"/>
      <c r="K378" s="31"/>
      <c r="L378" s="31"/>
      <c r="Q378" s="31"/>
      <c r="R378" s="31"/>
      <c r="S378" s="31"/>
      <c r="T378" s="31"/>
      <c r="U378" s="31"/>
      <c r="V378" s="31"/>
    </row>
    <row r="379" spans="2:22" ht="12.75" customHeight="1" x14ac:dyDescent="0.35">
      <c r="B379" s="31"/>
      <c r="C379" s="31"/>
      <c r="D379" s="31"/>
      <c r="E379" s="31"/>
      <c r="F379" s="31"/>
      <c r="G379" s="31"/>
      <c r="H379" s="31"/>
      <c r="I379" s="31"/>
      <c r="J379" s="31"/>
      <c r="K379" s="31"/>
      <c r="L379" s="31"/>
      <c r="Q379" s="31"/>
      <c r="R379" s="31"/>
      <c r="S379" s="31"/>
      <c r="T379" s="31"/>
      <c r="U379" s="31"/>
      <c r="V379" s="31"/>
    </row>
    <row r="380" spans="2:22" ht="12.75" customHeight="1" x14ac:dyDescent="0.35">
      <c r="B380" s="31"/>
      <c r="C380" s="31"/>
      <c r="D380" s="31"/>
      <c r="E380" s="31"/>
      <c r="F380" s="31"/>
      <c r="G380" s="31"/>
      <c r="H380" s="31"/>
      <c r="I380" s="31"/>
      <c r="J380" s="31"/>
      <c r="K380" s="31"/>
      <c r="L380" s="31"/>
      <c r="Q380" s="31"/>
      <c r="R380" s="31"/>
      <c r="S380" s="31"/>
      <c r="T380" s="31"/>
      <c r="U380" s="31"/>
      <c r="V380" s="31"/>
    </row>
    <row r="381" spans="2:22" ht="12.75" customHeight="1" x14ac:dyDescent="0.35">
      <c r="B381" s="31"/>
      <c r="C381" s="31"/>
      <c r="D381" s="31"/>
      <c r="E381" s="31"/>
      <c r="F381" s="31"/>
      <c r="G381" s="31"/>
      <c r="H381" s="31"/>
      <c r="I381" s="31"/>
      <c r="J381" s="31"/>
      <c r="K381" s="31"/>
      <c r="L381" s="31"/>
      <c r="Q381" s="31"/>
      <c r="R381" s="31"/>
      <c r="S381" s="31"/>
      <c r="T381" s="31"/>
      <c r="U381" s="31"/>
      <c r="V381" s="31"/>
    </row>
    <row r="382" spans="2:22" ht="12.75" customHeight="1" x14ac:dyDescent="0.35">
      <c r="B382" s="31"/>
      <c r="C382" s="31"/>
      <c r="D382" s="31"/>
      <c r="E382" s="31"/>
      <c r="F382" s="31"/>
      <c r="G382" s="31"/>
      <c r="H382" s="31"/>
      <c r="I382" s="31"/>
      <c r="J382" s="31"/>
      <c r="K382" s="31"/>
      <c r="L382" s="31"/>
      <c r="Q382" s="31"/>
      <c r="R382" s="31"/>
      <c r="S382" s="31"/>
      <c r="T382" s="31"/>
      <c r="U382" s="31"/>
      <c r="V382" s="31"/>
    </row>
    <row r="383" spans="2:22" ht="12.75" customHeight="1" x14ac:dyDescent="0.35">
      <c r="B383" s="31"/>
      <c r="C383" s="31"/>
      <c r="D383" s="31"/>
      <c r="E383" s="31"/>
      <c r="F383" s="31"/>
      <c r="G383" s="31"/>
      <c r="H383" s="31"/>
      <c r="I383" s="31"/>
      <c r="J383" s="31"/>
      <c r="K383" s="31"/>
      <c r="L383" s="31"/>
      <c r="Q383" s="31"/>
      <c r="R383" s="31"/>
      <c r="S383" s="31"/>
      <c r="T383" s="31"/>
      <c r="U383" s="31"/>
      <c r="V383" s="31"/>
    </row>
    <row r="384" spans="2:22" ht="12.75" customHeight="1" x14ac:dyDescent="0.35">
      <c r="B384" s="31"/>
      <c r="C384" s="31"/>
      <c r="D384" s="31"/>
      <c r="E384" s="31"/>
      <c r="F384" s="31"/>
      <c r="G384" s="31"/>
      <c r="H384" s="31"/>
      <c r="I384" s="31"/>
      <c r="J384" s="31"/>
      <c r="K384" s="31"/>
      <c r="L384" s="31"/>
      <c r="Q384" s="31"/>
      <c r="R384" s="31"/>
      <c r="S384" s="31"/>
      <c r="T384" s="31"/>
      <c r="U384" s="31"/>
      <c r="V384" s="31"/>
    </row>
    <row r="385" spans="2:22" ht="12.75" customHeight="1" x14ac:dyDescent="0.35">
      <c r="B385" s="31"/>
      <c r="C385" s="31"/>
      <c r="D385" s="31"/>
      <c r="E385" s="31"/>
      <c r="F385" s="31"/>
      <c r="G385" s="31"/>
      <c r="H385" s="31"/>
      <c r="I385" s="31"/>
      <c r="J385" s="31"/>
      <c r="K385" s="31"/>
      <c r="L385" s="31"/>
      <c r="Q385" s="31"/>
      <c r="R385" s="31"/>
      <c r="S385" s="31"/>
      <c r="T385" s="31"/>
      <c r="U385" s="31"/>
      <c r="V385" s="31"/>
    </row>
    <row r="386" spans="2:22" ht="12.75" customHeight="1" x14ac:dyDescent="0.35">
      <c r="B386" s="31"/>
      <c r="C386" s="31"/>
      <c r="D386" s="31"/>
      <c r="E386" s="31"/>
      <c r="F386" s="31"/>
      <c r="G386" s="31"/>
      <c r="H386" s="31"/>
      <c r="I386" s="31"/>
      <c r="J386" s="31"/>
      <c r="K386" s="31"/>
      <c r="L386" s="31"/>
      <c r="Q386" s="31"/>
      <c r="R386" s="31"/>
      <c r="S386" s="31"/>
      <c r="T386" s="31"/>
      <c r="U386" s="31"/>
      <c r="V386" s="31"/>
    </row>
    <row r="387" spans="2:22" ht="12.75" customHeight="1" x14ac:dyDescent="0.35">
      <c r="B387" s="31"/>
      <c r="C387" s="31"/>
      <c r="D387" s="31"/>
      <c r="E387" s="31"/>
      <c r="F387" s="31"/>
      <c r="G387" s="31"/>
      <c r="H387" s="31"/>
      <c r="I387" s="31"/>
      <c r="J387" s="31"/>
      <c r="K387" s="31"/>
      <c r="L387" s="31"/>
      <c r="Q387" s="31"/>
      <c r="R387" s="31"/>
      <c r="S387" s="31"/>
      <c r="T387" s="31"/>
      <c r="U387" s="31"/>
      <c r="V387" s="31"/>
    </row>
    <row r="388" spans="2:22" ht="12.75" customHeight="1" x14ac:dyDescent="0.35">
      <c r="B388" s="31"/>
      <c r="C388" s="31"/>
      <c r="D388" s="31"/>
      <c r="E388" s="31"/>
      <c r="F388" s="31"/>
      <c r="G388" s="31"/>
      <c r="H388" s="31"/>
      <c r="I388" s="31"/>
      <c r="J388" s="31"/>
      <c r="K388" s="31"/>
      <c r="L388" s="31"/>
      <c r="Q388" s="31"/>
      <c r="R388" s="31"/>
      <c r="S388" s="31"/>
      <c r="T388" s="31"/>
      <c r="U388" s="31"/>
      <c r="V388" s="31"/>
    </row>
    <row r="389" spans="2:22" ht="12.75" customHeight="1" x14ac:dyDescent="0.35">
      <c r="B389" s="31"/>
      <c r="C389" s="31"/>
      <c r="D389" s="31"/>
      <c r="E389" s="31"/>
      <c r="F389" s="31"/>
      <c r="G389" s="31"/>
      <c r="H389" s="31"/>
      <c r="I389" s="31"/>
      <c r="J389" s="31"/>
      <c r="K389" s="31"/>
      <c r="L389" s="31"/>
      <c r="Q389" s="31"/>
      <c r="R389" s="31"/>
      <c r="S389" s="31"/>
      <c r="T389" s="31"/>
      <c r="U389" s="31"/>
      <c r="V389" s="31"/>
    </row>
    <row r="390" spans="2:22" ht="12.75" customHeight="1" x14ac:dyDescent="0.35">
      <c r="B390" s="31"/>
      <c r="C390" s="31"/>
      <c r="D390" s="31"/>
      <c r="E390" s="31"/>
      <c r="F390" s="31"/>
      <c r="G390" s="31"/>
      <c r="H390" s="31"/>
      <c r="I390" s="31"/>
      <c r="J390" s="31"/>
      <c r="K390" s="31"/>
      <c r="L390" s="31"/>
      <c r="Q390" s="31"/>
      <c r="R390" s="31"/>
      <c r="S390" s="31"/>
      <c r="T390" s="31"/>
      <c r="U390" s="31"/>
      <c r="V390" s="31"/>
    </row>
    <row r="391" spans="2:22" ht="12.75" customHeight="1" x14ac:dyDescent="0.35">
      <c r="B391" s="31"/>
      <c r="C391" s="31"/>
      <c r="D391" s="31"/>
      <c r="E391" s="31"/>
      <c r="F391" s="31"/>
      <c r="G391" s="31"/>
      <c r="H391" s="31"/>
      <c r="I391" s="31"/>
      <c r="J391" s="31"/>
      <c r="K391" s="31"/>
      <c r="L391" s="31"/>
      <c r="Q391" s="31"/>
      <c r="R391" s="31"/>
      <c r="S391" s="31"/>
      <c r="T391" s="31"/>
      <c r="U391" s="31"/>
      <c r="V391" s="31"/>
    </row>
    <row r="392" spans="2:22" ht="12.75" customHeight="1" x14ac:dyDescent="0.35">
      <c r="B392" s="31"/>
      <c r="C392" s="31"/>
      <c r="D392" s="31"/>
      <c r="E392" s="31"/>
      <c r="F392" s="31"/>
      <c r="G392" s="31"/>
      <c r="H392" s="31"/>
      <c r="I392" s="31"/>
      <c r="J392" s="31"/>
      <c r="K392" s="31"/>
      <c r="L392" s="31"/>
      <c r="Q392" s="31"/>
      <c r="R392" s="31"/>
      <c r="S392" s="31"/>
      <c r="T392" s="31"/>
      <c r="U392" s="31"/>
      <c r="V392" s="31"/>
    </row>
    <row r="393" spans="2:22" ht="12.75" customHeight="1" x14ac:dyDescent="0.35">
      <c r="B393" s="31"/>
      <c r="C393" s="31"/>
      <c r="D393" s="31"/>
      <c r="E393" s="31"/>
      <c r="F393" s="31"/>
      <c r="G393" s="31"/>
      <c r="H393" s="31"/>
      <c r="I393" s="31"/>
      <c r="J393" s="31"/>
      <c r="K393" s="31"/>
      <c r="L393" s="31"/>
      <c r="Q393" s="31"/>
      <c r="R393" s="31"/>
      <c r="S393" s="31"/>
      <c r="T393" s="31"/>
      <c r="U393" s="31"/>
      <c r="V393" s="31"/>
    </row>
    <row r="394" spans="2:22" ht="12.75" customHeight="1" x14ac:dyDescent="0.35">
      <c r="B394" s="31"/>
      <c r="C394" s="31"/>
      <c r="D394" s="31"/>
      <c r="E394" s="31"/>
      <c r="F394" s="31"/>
      <c r="G394" s="31"/>
      <c r="H394" s="31"/>
      <c r="I394" s="31"/>
      <c r="J394" s="31"/>
      <c r="K394" s="31"/>
      <c r="L394" s="31"/>
      <c r="Q394" s="31"/>
      <c r="R394" s="31"/>
      <c r="S394" s="31"/>
      <c r="T394" s="31"/>
      <c r="U394" s="31"/>
      <c r="V394" s="31"/>
    </row>
    <row r="395" spans="2:22" ht="12.75" customHeight="1" x14ac:dyDescent="0.35">
      <c r="B395" s="31"/>
      <c r="C395" s="31"/>
      <c r="D395" s="31"/>
      <c r="E395" s="31"/>
      <c r="F395" s="31"/>
      <c r="G395" s="31"/>
      <c r="H395" s="31"/>
      <c r="I395" s="31"/>
      <c r="J395" s="31"/>
      <c r="K395" s="31"/>
      <c r="L395" s="31"/>
      <c r="Q395" s="31"/>
      <c r="R395" s="31"/>
      <c r="S395" s="31"/>
      <c r="T395" s="31"/>
      <c r="U395" s="31"/>
      <c r="V395" s="31"/>
    </row>
    <row r="396" spans="2:22" ht="12.75" customHeight="1" x14ac:dyDescent="0.35">
      <c r="B396" s="31"/>
      <c r="C396" s="31"/>
      <c r="D396" s="31"/>
      <c r="E396" s="31"/>
      <c r="F396" s="31"/>
      <c r="G396" s="31"/>
      <c r="H396" s="31"/>
      <c r="I396" s="31"/>
      <c r="J396" s="31"/>
      <c r="K396" s="31"/>
      <c r="L396" s="31"/>
      <c r="Q396" s="31"/>
      <c r="R396" s="31"/>
      <c r="S396" s="31"/>
      <c r="T396" s="31"/>
      <c r="U396" s="31"/>
      <c r="V396" s="31"/>
    </row>
    <row r="397" spans="2:22" ht="12.75" customHeight="1" x14ac:dyDescent="0.35">
      <c r="B397" s="31"/>
      <c r="C397" s="31"/>
      <c r="D397" s="31"/>
      <c r="E397" s="31"/>
      <c r="F397" s="31"/>
      <c r="G397" s="31"/>
      <c r="H397" s="31"/>
      <c r="I397" s="31"/>
      <c r="J397" s="31"/>
      <c r="K397" s="31"/>
      <c r="L397" s="31"/>
      <c r="Q397" s="31"/>
      <c r="R397" s="31"/>
      <c r="S397" s="31"/>
      <c r="T397" s="31"/>
      <c r="U397" s="31"/>
      <c r="V397" s="31"/>
    </row>
    <row r="398" spans="2:22" ht="12.75" customHeight="1" x14ac:dyDescent="0.35">
      <c r="B398" s="31"/>
      <c r="C398" s="31"/>
      <c r="D398" s="31"/>
      <c r="E398" s="31"/>
      <c r="F398" s="31"/>
      <c r="G398" s="31"/>
      <c r="H398" s="31"/>
      <c r="I398" s="31"/>
      <c r="J398" s="31"/>
      <c r="K398" s="31"/>
      <c r="L398" s="31"/>
      <c r="Q398" s="31"/>
      <c r="R398" s="31"/>
      <c r="S398" s="31"/>
      <c r="T398" s="31"/>
      <c r="U398" s="31"/>
      <c r="V398" s="31"/>
    </row>
    <row r="399" spans="2:22" ht="12.75" customHeight="1" x14ac:dyDescent="0.35">
      <c r="B399" s="31"/>
      <c r="C399" s="31"/>
      <c r="D399" s="31"/>
      <c r="E399" s="31"/>
      <c r="F399" s="31"/>
      <c r="G399" s="31"/>
      <c r="H399" s="31"/>
      <c r="I399" s="31"/>
      <c r="J399" s="31"/>
      <c r="K399" s="31"/>
      <c r="L399" s="31"/>
      <c r="Q399" s="31"/>
      <c r="R399" s="31"/>
      <c r="S399" s="31"/>
      <c r="T399" s="31"/>
      <c r="U399" s="31"/>
      <c r="V399" s="31"/>
    </row>
    <row r="400" spans="2:22" ht="12.75" customHeight="1" x14ac:dyDescent="0.35">
      <c r="B400" s="31"/>
      <c r="C400" s="31"/>
      <c r="D400" s="31"/>
      <c r="E400" s="31"/>
      <c r="F400" s="31"/>
      <c r="G400" s="31"/>
      <c r="H400" s="31"/>
      <c r="I400" s="31"/>
      <c r="J400" s="31"/>
      <c r="K400" s="31"/>
      <c r="L400" s="31"/>
      <c r="Q400" s="31"/>
      <c r="R400" s="31"/>
      <c r="S400" s="31"/>
      <c r="T400" s="31"/>
      <c r="U400" s="31"/>
      <c r="V400" s="31"/>
    </row>
    <row r="401" spans="2:22" ht="12.75" customHeight="1" x14ac:dyDescent="0.35">
      <c r="B401" s="31"/>
      <c r="C401" s="31"/>
      <c r="D401" s="31"/>
      <c r="E401" s="31"/>
      <c r="F401" s="31"/>
      <c r="G401" s="31"/>
      <c r="H401" s="31"/>
      <c r="I401" s="31"/>
      <c r="J401" s="31"/>
      <c r="K401" s="31"/>
      <c r="L401" s="31"/>
      <c r="Q401" s="31"/>
      <c r="R401" s="31"/>
      <c r="S401" s="31"/>
      <c r="T401" s="31"/>
      <c r="U401" s="31"/>
      <c r="V401" s="31"/>
    </row>
    <row r="402" spans="2:22" ht="12.75" customHeight="1" x14ac:dyDescent="0.35">
      <c r="B402" s="31"/>
      <c r="C402" s="31"/>
      <c r="D402" s="31"/>
      <c r="E402" s="31"/>
      <c r="F402" s="31"/>
      <c r="G402" s="31"/>
      <c r="H402" s="31"/>
      <c r="I402" s="31"/>
      <c r="J402" s="31"/>
      <c r="K402" s="31"/>
      <c r="L402" s="31"/>
      <c r="Q402" s="31"/>
      <c r="R402" s="31"/>
      <c r="S402" s="31"/>
      <c r="T402" s="31"/>
      <c r="U402" s="31"/>
      <c r="V402" s="31"/>
    </row>
    <row r="403" spans="2:22" ht="12.75" customHeight="1" x14ac:dyDescent="0.35">
      <c r="B403" s="31"/>
      <c r="C403" s="31"/>
      <c r="D403" s="31"/>
      <c r="E403" s="31"/>
      <c r="F403" s="31"/>
      <c r="G403" s="31"/>
      <c r="H403" s="31"/>
      <c r="I403" s="31"/>
      <c r="J403" s="31"/>
      <c r="K403" s="31"/>
      <c r="L403" s="31"/>
      <c r="Q403" s="31"/>
      <c r="R403" s="31"/>
      <c r="S403" s="31"/>
      <c r="T403" s="31"/>
      <c r="U403" s="31"/>
      <c r="V403" s="31"/>
    </row>
    <row r="404" spans="2:22" ht="12.75" customHeight="1" x14ac:dyDescent="0.35">
      <c r="B404" s="31"/>
      <c r="C404" s="31"/>
      <c r="D404" s="31"/>
      <c r="E404" s="31"/>
      <c r="F404" s="31"/>
      <c r="G404" s="31"/>
      <c r="H404" s="31"/>
      <c r="I404" s="31"/>
      <c r="J404" s="31"/>
      <c r="K404" s="31"/>
      <c r="L404" s="31"/>
      <c r="Q404" s="31"/>
      <c r="R404" s="31"/>
      <c r="S404" s="31"/>
      <c r="T404" s="31"/>
      <c r="U404" s="31"/>
      <c r="V404" s="31"/>
    </row>
    <row r="405" spans="2:22" ht="12.75" customHeight="1" x14ac:dyDescent="0.35">
      <c r="B405" s="31"/>
      <c r="C405" s="31"/>
      <c r="D405" s="31"/>
      <c r="E405" s="31"/>
      <c r="F405" s="31"/>
      <c r="G405" s="31"/>
      <c r="H405" s="31"/>
      <c r="I405" s="31"/>
      <c r="J405" s="31"/>
      <c r="K405" s="31"/>
      <c r="L405" s="31"/>
      <c r="Q405" s="31"/>
      <c r="R405" s="31"/>
      <c r="S405" s="31"/>
      <c r="T405" s="31"/>
      <c r="U405" s="31"/>
      <c r="V405" s="31"/>
    </row>
    <row r="406" spans="2:22" ht="12.75" customHeight="1" x14ac:dyDescent="0.35">
      <c r="B406" s="31"/>
      <c r="C406" s="31"/>
      <c r="D406" s="31"/>
      <c r="E406" s="31"/>
      <c r="F406" s="31"/>
      <c r="G406" s="31"/>
      <c r="H406" s="31"/>
      <c r="I406" s="31"/>
      <c r="J406" s="31"/>
      <c r="K406" s="31"/>
      <c r="L406" s="31"/>
      <c r="Q406" s="31"/>
      <c r="R406" s="31"/>
      <c r="S406" s="31"/>
      <c r="T406" s="31"/>
      <c r="U406" s="31"/>
      <c r="V406" s="31"/>
    </row>
    <row r="407" spans="2:22" ht="12.75" customHeight="1" x14ac:dyDescent="0.35">
      <c r="B407" s="31"/>
      <c r="C407" s="31"/>
      <c r="D407" s="31"/>
      <c r="E407" s="31"/>
      <c r="F407" s="31"/>
      <c r="G407" s="31"/>
      <c r="H407" s="31"/>
      <c r="I407" s="31"/>
      <c r="J407" s="31"/>
      <c r="K407" s="31"/>
      <c r="L407" s="31"/>
      <c r="Q407" s="31"/>
      <c r="R407" s="31"/>
      <c r="S407" s="31"/>
      <c r="T407" s="31"/>
      <c r="U407" s="31"/>
      <c r="V407" s="31"/>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718DE-C236-4388-9279-D89BBB99ACB1}">
  <sheetPr codeName="Sheet4"/>
  <dimension ref="A1:F62"/>
  <sheetViews>
    <sheetView tabSelected="1" workbookViewId="0">
      <selection activeCell="J11" sqref="J11"/>
    </sheetView>
  </sheetViews>
  <sheetFormatPr defaultRowHeight="15" x14ac:dyDescent="0.35"/>
  <cols>
    <col min="1" max="1" width="9.06640625" style="143"/>
    <col min="2" max="2" width="49.59765625" customWidth="1"/>
    <col min="3" max="5" width="12" bestFit="1" customWidth="1"/>
  </cols>
  <sheetData>
    <row r="1" spans="1:6" ht="20.65" x14ac:dyDescent="0.35">
      <c r="B1" s="301" t="s">
        <v>292</v>
      </c>
    </row>
    <row r="2" spans="1:6" x14ac:dyDescent="0.35">
      <c r="E2" s="144" t="s">
        <v>140</v>
      </c>
      <c r="F2" s="144" t="s">
        <v>140</v>
      </c>
    </row>
    <row r="3" spans="1:6" x14ac:dyDescent="0.35">
      <c r="C3" s="126" t="s">
        <v>235</v>
      </c>
      <c r="D3" s="126" t="s">
        <v>236</v>
      </c>
      <c r="E3" s="126" t="s">
        <v>237</v>
      </c>
      <c r="F3" s="126" t="s">
        <v>238</v>
      </c>
    </row>
    <row r="4" spans="1:6" ht="20.65" x14ac:dyDescent="0.35">
      <c r="B4" s="301" t="s">
        <v>168</v>
      </c>
      <c r="C4" s="302" t="s">
        <v>132</v>
      </c>
      <c r="D4" s="302" t="s">
        <v>132</v>
      </c>
      <c r="E4" s="302" t="s">
        <v>132</v>
      </c>
      <c r="F4" s="302" t="s">
        <v>132</v>
      </c>
    </row>
    <row r="5" spans="1:6" x14ac:dyDescent="0.4">
      <c r="A5" s="142" t="s">
        <v>282</v>
      </c>
      <c r="B5" s="120" t="s">
        <v>249</v>
      </c>
      <c r="C5" s="302"/>
      <c r="D5" s="302"/>
      <c r="E5" s="302"/>
      <c r="F5" s="302"/>
    </row>
    <row r="6" spans="1:6" ht="15.4" thickBot="1" x14ac:dyDescent="0.4">
      <c r="A6" s="303"/>
      <c r="B6" s="304" t="s">
        <v>277</v>
      </c>
      <c r="C6" s="305">
        <f>'[1]BASE - Pre CV-19'!I175</f>
        <v>20146.91165454546</v>
      </c>
      <c r="D6" s="305">
        <f>'[1]BASE - Pre CV-19'!K175</f>
        <v>28002.241343272734</v>
      </c>
      <c r="E6" s="305">
        <f>'[1]BASE - Pre CV-19'!M175</f>
        <v>24695.062024316518</v>
      </c>
      <c r="F6" s="306">
        <f>'[1]BASE - Pre CV-19'!O175</f>
        <v>17632.107268206193</v>
      </c>
    </row>
    <row r="7" spans="1:6" ht="15.4" thickTop="1" x14ac:dyDescent="0.35">
      <c r="A7" s="143" t="s">
        <v>283</v>
      </c>
      <c r="B7" s="120" t="s">
        <v>250</v>
      </c>
      <c r="C7" s="137"/>
      <c r="D7" s="137"/>
      <c r="E7" s="137"/>
      <c r="F7" s="137"/>
    </row>
    <row r="8" spans="1:6" x14ac:dyDescent="0.35">
      <c r="B8" s="139" t="s">
        <v>278</v>
      </c>
      <c r="C8" s="138">
        <f>'[1]BASE YTD adjust'!D109</f>
        <v>68454.780000000028</v>
      </c>
      <c r="D8" s="138">
        <f>'[1]BASE YTD adjust'!E109</f>
        <v>16105</v>
      </c>
      <c r="E8" s="138">
        <f>'[1]BASE YTD adjust'!F109</f>
        <v>16908.600000000093</v>
      </c>
      <c r="F8" s="138">
        <f>'[1]BASE YTD adjust'!G109</f>
        <v>17632.107268206193</v>
      </c>
    </row>
    <row r="9" spans="1:6" ht="15.4" thickBot="1" x14ac:dyDescent="0.4">
      <c r="A9" s="303"/>
      <c r="B9" s="307" t="s">
        <v>378</v>
      </c>
      <c r="C9" s="308">
        <f>C8-C$6</f>
        <v>48307.868345454568</v>
      </c>
      <c r="D9" s="308">
        <f t="shared" ref="D9:F9" si="0">D8-D$6</f>
        <v>-11897.241343272734</v>
      </c>
      <c r="E9" s="308">
        <f t="shared" si="0"/>
        <v>-7786.4620243164245</v>
      </c>
      <c r="F9" s="308">
        <f t="shared" si="0"/>
        <v>0</v>
      </c>
    </row>
    <row r="10" spans="1:6" ht="15.4" thickTop="1" x14ac:dyDescent="0.35">
      <c r="A10" s="143" t="s">
        <v>284</v>
      </c>
      <c r="B10" s="120" t="s">
        <v>269</v>
      </c>
      <c r="C10" s="138"/>
      <c r="D10" s="138"/>
      <c r="E10" s="138"/>
      <c r="F10" s="138"/>
    </row>
    <row r="11" spans="1:6" ht="42.75" x14ac:dyDescent="0.35">
      <c r="B11" s="309" t="s">
        <v>279</v>
      </c>
      <c r="C11" s="310">
        <f>'[1]PS 21_22 NC'!D109</f>
        <v>68454.780000000028</v>
      </c>
      <c r="D11" s="310">
        <f>'[1]PS 21_22 NC'!E109</f>
        <v>37046.523999999976</v>
      </c>
      <c r="E11" s="310">
        <f>'[1]PS 21_22 NC'!F109</f>
        <v>-4034.6899999999441</v>
      </c>
      <c r="F11" s="310">
        <f>'[1]PS 21_22 NC'!G109</f>
        <v>17632.107268206193</v>
      </c>
    </row>
    <row r="12" spans="1:6" ht="15.4" thickBot="1" x14ac:dyDescent="0.4">
      <c r="A12" s="303"/>
      <c r="B12" s="307" t="s">
        <v>378</v>
      </c>
      <c r="C12" s="308">
        <f>C11-C$6</f>
        <v>48307.868345454568</v>
      </c>
      <c r="D12" s="308">
        <f t="shared" ref="D12:F12" si="1">D11-D$6</f>
        <v>9044.2826567272423</v>
      </c>
      <c r="E12" s="308">
        <f t="shared" si="1"/>
        <v>-28729.752024316462</v>
      </c>
      <c r="F12" s="308">
        <f t="shared" si="1"/>
        <v>0</v>
      </c>
    </row>
    <row r="13" spans="1:6" ht="15.4" thickTop="1" x14ac:dyDescent="0.35">
      <c r="A13" s="143" t="s">
        <v>285</v>
      </c>
      <c r="B13" s="120" t="s">
        <v>270</v>
      </c>
      <c r="C13" s="138"/>
      <c r="D13" s="138"/>
      <c r="E13" s="138"/>
      <c r="F13" s="138"/>
    </row>
    <row r="14" spans="1:6" ht="51" x14ac:dyDescent="0.35">
      <c r="B14" s="311" t="s">
        <v>280</v>
      </c>
      <c r="C14" s="310">
        <f>'[1]PS 21_22 T75jan21'!D109</f>
        <v>68454.780000000028</v>
      </c>
      <c r="D14" s="310">
        <f>'[1]PS 21_22 T75jan21'!E109</f>
        <v>77316.89300000004</v>
      </c>
      <c r="E14" s="310">
        <f>'[1]PS 21_22 T75jan21'!F109</f>
        <v>51896.607500000158</v>
      </c>
      <c r="F14" s="310">
        <f>'[1]PS 21_22 T75jan21'!G109</f>
        <v>17632.107268206193</v>
      </c>
    </row>
    <row r="15" spans="1:6" ht="15.4" thickBot="1" x14ac:dyDescent="0.4">
      <c r="A15" s="303"/>
      <c r="B15" s="307" t="s">
        <v>378</v>
      </c>
      <c r="C15" s="308">
        <f>C14-C$6</f>
        <v>48307.868345454568</v>
      </c>
      <c r="D15" s="308">
        <f t="shared" ref="D15:F15" si="2">D14-D$6</f>
        <v>49314.651656727307</v>
      </c>
      <c r="E15" s="308">
        <f t="shared" si="2"/>
        <v>27201.545475683641</v>
      </c>
      <c r="F15" s="308">
        <f t="shared" si="2"/>
        <v>0</v>
      </c>
    </row>
    <row r="16" spans="1:6" ht="15.4" thickTop="1" x14ac:dyDescent="0.35">
      <c r="A16" s="143" t="s">
        <v>286</v>
      </c>
      <c r="B16" s="120" t="s">
        <v>271</v>
      </c>
      <c r="C16" s="138"/>
      <c r="D16" s="138"/>
      <c r="E16" s="138"/>
      <c r="F16" s="138"/>
    </row>
    <row r="17" spans="1:6" ht="63.75" x14ac:dyDescent="0.35">
      <c r="B17" s="311" t="s">
        <v>281</v>
      </c>
      <c r="C17" s="310">
        <f>'[1]PS NT jan 21'!D109</f>
        <v>68454.780000000028</v>
      </c>
      <c r="D17" s="310">
        <f>'[1]PS NT jan 21'!E109</f>
        <v>198128</v>
      </c>
      <c r="E17" s="310">
        <f>'[1]PS NT jan 21'!F109</f>
        <v>69689.600000000093</v>
      </c>
      <c r="F17" s="310">
        <f>'[1]PS NT jan 21'!G109</f>
        <v>17632.107268206193</v>
      </c>
    </row>
    <row r="18" spans="1:6" ht="15.4" thickBot="1" x14ac:dyDescent="0.4">
      <c r="A18" s="303"/>
      <c r="B18" s="307" t="s">
        <v>378</v>
      </c>
      <c r="C18" s="308">
        <f>C17-C$6</f>
        <v>48307.868345454568</v>
      </c>
      <c r="D18" s="308">
        <f t="shared" ref="D18:F18" si="3">D17-D$6</f>
        <v>170125.75865672727</v>
      </c>
      <c r="E18" s="308">
        <f t="shared" si="3"/>
        <v>44994.537975683575</v>
      </c>
      <c r="F18" s="308">
        <f t="shared" si="3"/>
        <v>0</v>
      </c>
    </row>
    <row r="19" spans="1:6" ht="15.4" thickTop="1" x14ac:dyDescent="0.35">
      <c r="A19" s="143" t="s">
        <v>287</v>
      </c>
      <c r="B19" s="120" t="s">
        <v>272</v>
      </c>
      <c r="C19" s="138"/>
      <c r="D19" s="138"/>
      <c r="E19" s="138"/>
      <c r="F19" s="138"/>
    </row>
    <row r="20" spans="1:6" ht="63.75" x14ac:dyDescent="0.35">
      <c r="B20" s="311" t="s">
        <v>379</v>
      </c>
      <c r="C20" s="310">
        <f>'[1]PS T75 NoSPCID'!D109</f>
        <v>68454.780000000028</v>
      </c>
      <c r="D20" s="310">
        <f>'[1]PS T75 NoSPCID'!E109</f>
        <v>16056.89300000004</v>
      </c>
      <c r="E20" s="310">
        <f>'[1]PS T75 NoSPCID'!F109</f>
        <v>36046.607500000158</v>
      </c>
      <c r="F20" s="310">
        <f>'[1]PS T75 NoSPCID'!G109</f>
        <v>17632.107268206193</v>
      </c>
    </row>
    <row r="21" spans="1:6" ht="15.4" thickBot="1" x14ac:dyDescent="0.4">
      <c r="A21" s="303"/>
      <c r="B21" s="307" t="s">
        <v>378</v>
      </c>
      <c r="C21" s="308">
        <f>C20-C$6</f>
        <v>48307.868345454568</v>
      </c>
      <c r="D21" s="308">
        <f t="shared" ref="D21:F21" si="4">D20-D$6</f>
        <v>-11945.348343272693</v>
      </c>
      <c r="E21" s="308">
        <f t="shared" si="4"/>
        <v>11351.545475683641</v>
      </c>
      <c r="F21" s="308">
        <f t="shared" si="4"/>
        <v>0</v>
      </c>
    </row>
    <row r="22" spans="1:6" ht="15.4" thickTop="1" x14ac:dyDescent="0.35">
      <c r="A22" s="143" t="s">
        <v>288</v>
      </c>
      <c r="B22" s="120" t="s">
        <v>273</v>
      </c>
      <c r="C22" s="138"/>
      <c r="D22" s="138"/>
      <c r="E22" s="138"/>
      <c r="F22" s="138"/>
    </row>
    <row r="23" spans="1:6" ht="63.75" x14ac:dyDescent="0.35">
      <c r="B23" s="311" t="s">
        <v>380</v>
      </c>
      <c r="C23" s="310">
        <f>'[1]PS 21_22 NC mem 5 and 25'!D109</f>
        <v>68454.780000000028</v>
      </c>
      <c r="D23" s="310">
        <f>'[1]PS 21_22 NC mem 5 and 25'!E109</f>
        <v>-46269.968954545562</v>
      </c>
      <c r="E23" s="310">
        <f>'[1]PS 21_22 NC mem 5 and 25'!F109</f>
        <v>-91561.239102272666</v>
      </c>
      <c r="F23" s="310">
        <f>'[1]PS 21_22 NC mem 5 and 25'!G109</f>
        <v>-71427.103062016307</v>
      </c>
    </row>
    <row r="24" spans="1:6" ht="15.4" thickBot="1" x14ac:dyDescent="0.4">
      <c r="A24" s="303"/>
      <c r="B24" s="307" t="s">
        <v>378</v>
      </c>
      <c r="C24" s="308">
        <f>C23-C$6</f>
        <v>48307.868345454568</v>
      </c>
      <c r="D24" s="308">
        <f t="shared" ref="D24:F24" si="5">D23-D$6</f>
        <v>-74272.210297818296</v>
      </c>
      <c r="E24" s="308">
        <f t="shared" si="5"/>
        <v>-116256.30112658918</v>
      </c>
      <c r="F24" s="308">
        <f t="shared" si="5"/>
        <v>-89059.2103302225</v>
      </c>
    </row>
    <row r="25" spans="1:6" ht="15.4" thickTop="1" x14ac:dyDescent="0.35">
      <c r="A25" s="143" t="s">
        <v>289</v>
      </c>
      <c r="B25" s="141" t="s">
        <v>274</v>
      </c>
      <c r="C25" s="138"/>
      <c r="D25" s="138"/>
      <c r="E25" s="138"/>
      <c r="F25" s="138"/>
    </row>
    <row r="26" spans="1:6" ht="63.75" x14ac:dyDescent="0.35">
      <c r="B26" s="311" t="s">
        <v>381</v>
      </c>
      <c r="C26" s="310">
        <f>'[1]PS 21_22 NC  Mem 5 and 50'!D109</f>
        <v>68454.780000000028</v>
      </c>
      <c r="D26" s="310">
        <f>'[1]PS 21_22 NC  Mem 5 and 50'!E109</f>
        <v>-118201.03269261366</v>
      </c>
      <c r="E26" s="310">
        <f>'[1]PS 21_22 NC  Mem 5 and 50'!F109</f>
        <v>-167088.85602724424</v>
      </c>
      <c r="F26" s="310">
        <f>'[1]PS 21_22 NC  Mem 5 and 50'!G109</f>
        <v>-144137.76530650433</v>
      </c>
    </row>
    <row r="27" spans="1:6" ht="15.4" thickBot="1" x14ac:dyDescent="0.4">
      <c r="A27" s="303"/>
      <c r="B27" s="307" t="s">
        <v>378</v>
      </c>
      <c r="C27" s="308">
        <f>C26-C$6</f>
        <v>48307.868345454568</v>
      </c>
      <c r="D27" s="308">
        <f t="shared" ref="D27:F27" si="6">D26-D$6</f>
        <v>-146203.2740358864</v>
      </c>
      <c r="E27" s="308">
        <f t="shared" si="6"/>
        <v>-191783.91805156076</v>
      </c>
      <c r="F27" s="308">
        <f t="shared" si="6"/>
        <v>-161769.87257471052</v>
      </c>
    </row>
    <row r="28" spans="1:6" ht="15.4" thickTop="1" x14ac:dyDescent="0.35">
      <c r="A28" s="143" t="s">
        <v>290</v>
      </c>
      <c r="B28" s="120" t="s">
        <v>275</v>
      </c>
      <c r="C28" s="138"/>
      <c r="D28" s="138"/>
      <c r="E28" s="138"/>
      <c r="F28" s="138"/>
    </row>
    <row r="29" spans="1:6" ht="76.5" x14ac:dyDescent="0.35">
      <c r="B29" s="311" t="s">
        <v>382</v>
      </c>
      <c r="C29" s="310">
        <f>'[1]PS 21_22 NC mem 5 and 25'!D109</f>
        <v>68454.780000000028</v>
      </c>
      <c r="D29" s="310">
        <f>'[1]PS 21_22 NC mem 5 and 25'!E109</f>
        <v>-46269.968954545562</v>
      </c>
      <c r="E29" s="310">
        <f>'[1]PS 21_22 NC mem 5 and 25'!F109</f>
        <v>-91561.239102272666</v>
      </c>
      <c r="F29" s="310">
        <f>'[1]PS 21_22 NC mem 5 and 25'!G109</f>
        <v>-71427.103062016307</v>
      </c>
    </row>
    <row r="30" spans="1:6" ht="15.4" thickBot="1" x14ac:dyDescent="0.4">
      <c r="A30" s="303"/>
      <c r="B30" s="307" t="s">
        <v>378</v>
      </c>
      <c r="C30" s="308">
        <f>C29-C$6</f>
        <v>48307.868345454568</v>
      </c>
      <c r="D30" s="308">
        <f t="shared" ref="D30:F30" si="7">D29-D$6</f>
        <v>-74272.210297818296</v>
      </c>
      <c r="E30" s="308">
        <f t="shared" si="7"/>
        <v>-116256.30112658918</v>
      </c>
      <c r="F30" s="308">
        <f t="shared" si="7"/>
        <v>-89059.2103302225</v>
      </c>
    </row>
    <row r="31" spans="1:6" ht="15.4" thickTop="1" x14ac:dyDescent="0.35">
      <c r="A31" s="143" t="s">
        <v>291</v>
      </c>
      <c r="B31" s="120" t="s">
        <v>276</v>
      </c>
      <c r="C31" s="138"/>
      <c r="D31" s="138"/>
      <c r="E31" s="138"/>
      <c r="F31" s="138"/>
    </row>
    <row r="32" spans="1:6" ht="76.5" x14ac:dyDescent="0.35">
      <c r="B32" s="311" t="s">
        <v>383</v>
      </c>
      <c r="C32" s="310">
        <f>'[1]PS 21_22 NoSPCID memb 5 and 50'!D109</f>
        <v>68454.780000000028</v>
      </c>
      <c r="D32" s="310">
        <f>'[1]PS 21_22 NoSPCID memb 5 and 50'!E109</f>
        <v>-179461.03269261366</v>
      </c>
      <c r="E32" s="310">
        <f>'[1]PS 21_22 NoSPCID memb 5 and 50'!F109</f>
        <v>-182938.85602724424</v>
      </c>
      <c r="F32" s="310">
        <f>'[1]PS 21_22 NoSPCID memb 5 and 50'!G109</f>
        <v>-144137.76530650433</v>
      </c>
    </row>
    <row r="33" spans="1:6" ht="15.4" thickBot="1" x14ac:dyDescent="0.4">
      <c r="A33" s="303"/>
      <c r="B33" s="307" t="s">
        <v>378</v>
      </c>
      <c r="C33" s="308">
        <f>C32-C$6</f>
        <v>48307.868345454568</v>
      </c>
      <c r="D33" s="308">
        <f t="shared" ref="D33:F33" si="8">D32-D$6</f>
        <v>-207463.2740358864</v>
      </c>
      <c r="E33" s="308">
        <f t="shared" si="8"/>
        <v>-207633.91805156076</v>
      </c>
      <c r="F33" s="308">
        <f t="shared" si="8"/>
        <v>-161769.87257471052</v>
      </c>
    </row>
    <row r="34" spans="1:6" ht="15.4" thickTop="1" x14ac:dyDescent="0.35">
      <c r="B34" s="140"/>
      <c r="C34" s="138"/>
      <c r="D34" s="138"/>
      <c r="E34" s="138"/>
      <c r="F34" s="138"/>
    </row>
    <row r="35" spans="1:6" x14ac:dyDescent="0.35">
      <c r="B35" s="139"/>
    </row>
    <row r="36" spans="1:6" x14ac:dyDescent="0.35">
      <c r="B36" s="139"/>
    </row>
    <row r="37" spans="1:6" x14ac:dyDescent="0.35">
      <c r="B37" s="139"/>
    </row>
    <row r="38" spans="1:6" x14ac:dyDescent="0.35">
      <c r="B38" s="139"/>
    </row>
    <row r="39" spans="1:6" x14ac:dyDescent="0.35">
      <c r="B39" s="139"/>
    </row>
    <row r="40" spans="1:6" x14ac:dyDescent="0.35">
      <c r="B40" s="139"/>
    </row>
    <row r="41" spans="1:6" x14ac:dyDescent="0.35">
      <c r="B41" s="139"/>
    </row>
    <row r="62" spans="2:2" x14ac:dyDescent="0.35">
      <c r="B62" t="s">
        <v>311</v>
      </c>
    </row>
  </sheetData>
  <sheetProtection algorithmName="SHA-512" hashValue="/4UYeZjxwV68HjeOJmxCEm51l3Zs93eY7VZvTPv41izNelQdQ/1vgDXdJ1ebn1pPusDTy1fdgs01+CAuGocmmg==" saltValue="dY594QL17OsXlk7ob+H7Xg==" spinCount="100000"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D35"/>
  <sheetViews>
    <sheetView workbookViewId="0">
      <selection activeCell="D14" sqref="D14"/>
    </sheetView>
  </sheetViews>
  <sheetFormatPr defaultRowHeight="12.75" x14ac:dyDescent="0.35"/>
  <cols>
    <col min="1" max="1" width="24.6640625" style="300" customWidth="1"/>
    <col min="2" max="2" width="78.6640625" style="56" customWidth="1"/>
    <col min="3" max="3" width="4.59765625" bestFit="1" customWidth="1"/>
    <col min="4" max="4" width="82.265625" style="56" customWidth="1"/>
  </cols>
  <sheetData>
    <row r="1" spans="1:4" ht="20.25" x14ac:dyDescent="0.35">
      <c r="A1" s="291" t="s">
        <v>337</v>
      </c>
      <c r="C1" s="26"/>
    </row>
    <row r="2" spans="1:4" ht="14.25" x14ac:dyDescent="0.35">
      <c r="A2" s="292" t="s">
        <v>169</v>
      </c>
      <c r="B2" s="293" t="s">
        <v>361</v>
      </c>
      <c r="C2" s="26"/>
    </row>
    <row r="3" spans="1:4" ht="13.15" x14ac:dyDescent="0.35">
      <c r="A3" s="294"/>
      <c r="B3" s="295"/>
      <c r="C3" s="26"/>
    </row>
    <row r="4" spans="1:4" ht="14.25" x14ac:dyDescent="0.35">
      <c r="A4" s="292" t="s">
        <v>170</v>
      </c>
      <c r="B4" s="296" t="s">
        <v>338</v>
      </c>
      <c r="C4" s="26"/>
    </row>
    <row r="5" spans="1:4" ht="28.5" x14ac:dyDescent="0.35">
      <c r="A5" s="292" t="s">
        <v>171</v>
      </c>
      <c r="B5" s="296" t="s">
        <v>339</v>
      </c>
      <c r="C5" s="56"/>
      <c r="D5" s="57"/>
    </row>
    <row r="6" spans="1:4" ht="13.15" x14ac:dyDescent="0.35">
      <c r="A6" s="294"/>
      <c r="B6" s="295"/>
      <c r="C6" s="26"/>
      <c r="D6" s="57"/>
    </row>
    <row r="7" spans="1:4" ht="28.5" x14ac:dyDescent="0.35">
      <c r="A7" s="292" t="s">
        <v>172</v>
      </c>
      <c r="B7" s="296" t="s">
        <v>362</v>
      </c>
      <c r="C7" s="26"/>
    </row>
    <row r="8" spans="1:4" ht="28.5" x14ac:dyDescent="0.35">
      <c r="A8" s="292" t="s">
        <v>173</v>
      </c>
      <c r="B8" s="296" t="s">
        <v>363</v>
      </c>
      <c r="C8" s="26"/>
      <c r="D8" s="57"/>
    </row>
    <row r="9" spans="1:4" ht="14.25" x14ac:dyDescent="0.35">
      <c r="A9" s="292" t="s">
        <v>174</v>
      </c>
      <c r="B9" s="296"/>
      <c r="C9" s="56"/>
      <c r="D9" s="57"/>
    </row>
    <row r="10" spans="1:4" ht="14.25" x14ac:dyDescent="0.35">
      <c r="A10" s="294"/>
      <c r="B10" s="296" t="s">
        <v>364</v>
      </c>
      <c r="C10" s="26"/>
      <c r="D10" s="57"/>
    </row>
    <row r="11" spans="1:4" ht="28.5" x14ac:dyDescent="0.35">
      <c r="A11" s="294"/>
      <c r="B11" s="296" t="s">
        <v>340</v>
      </c>
      <c r="C11" s="26"/>
      <c r="D11" s="57"/>
    </row>
    <row r="12" spans="1:4" ht="14.25" x14ac:dyDescent="0.35">
      <c r="A12" s="294"/>
      <c r="B12" s="296" t="s">
        <v>365</v>
      </c>
      <c r="C12" s="26"/>
      <c r="D12" s="57"/>
    </row>
    <row r="13" spans="1:4" ht="28.5" x14ac:dyDescent="0.35">
      <c r="A13" s="297"/>
      <c r="B13" s="296" t="s">
        <v>366</v>
      </c>
      <c r="C13" s="26"/>
      <c r="D13" s="57"/>
    </row>
    <row r="14" spans="1:4" ht="14.25" x14ac:dyDescent="0.35">
      <c r="A14" s="297"/>
      <c r="B14" s="296" t="s">
        <v>367</v>
      </c>
      <c r="C14" s="56"/>
      <c r="D14" s="57"/>
    </row>
    <row r="15" spans="1:4" ht="14.25" x14ac:dyDescent="0.35">
      <c r="A15" s="294"/>
      <c r="B15" s="296" t="s">
        <v>368</v>
      </c>
      <c r="C15" s="26"/>
      <c r="D15" s="57"/>
    </row>
    <row r="16" spans="1:4" ht="28.5" x14ac:dyDescent="0.35">
      <c r="A16" s="298" t="s">
        <v>175</v>
      </c>
      <c r="B16" s="296" t="s">
        <v>369</v>
      </c>
      <c r="C16" s="56"/>
      <c r="D16" s="57"/>
    </row>
    <row r="17" spans="1:4" ht="28.5" x14ac:dyDescent="0.35">
      <c r="A17" s="294"/>
      <c r="B17" s="296" t="s">
        <v>370</v>
      </c>
      <c r="C17" s="26"/>
      <c r="D17" s="57"/>
    </row>
    <row r="18" spans="1:4" ht="57" x14ac:dyDescent="0.35">
      <c r="A18" s="292" t="s">
        <v>176</v>
      </c>
      <c r="B18" s="296" t="s">
        <v>371</v>
      </c>
      <c r="C18" s="56"/>
      <c r="D18" s="57"/>
    </row>
    <row r="19" spans="1:4" ht="28.5" x14ac:dyDescent="0.35">
      <c r="A19" s="292" t="s">
        <v>177</v>
      </c>
      <c r="B19" s="296" t="s">
        <v>372</v>
      </c>
      <c r="C19" s="56"/>
      <c r="D19" s="57"/>
    </row>
    <row r="20" spans="1:4" ht="28.5" x14ac:dyDescent="0.35">
      <c r="A20" s="292" t="s">
        <v>178</v>
      </c>
      <c r="B20" s="296" t="s">
        <v>218</v>
      </c>
      <c r="C20" s="26"/>
      <c r="D20" s="57"/>
    </row>
    <row r="21" spans="1:4" ht="42.75" x14ac:dyDescent="0.35">
      <c r="A21" s="292" t="s">
        <v>179</v>
      </c>
      <c r="B21" s="296" t="s">
        <v>341</v>
      </c>
      <c r="C21" s="26"/>
      <c r="D21" s="57"/>
    </row>
    <row r="22" spans="1:4" ht="14.25" x14ac:dyDescent="0.35">
      <c r="A22" s="292" t="s">
        <v>180</v>
      </c>
      <c r="B22" s="295"/>
      <c r="C22" s="26"/>
    </row>
    <row r="23" spans="1:4" ht="28.5" x14ac:dyDescent="0.35">
      <c r="A23" s="294"/>
      <c r="B23" s="296" t="s">
        <v>373</v>
      </c>
      <c r="C23" s="53"/>
      <c r="D23" s="57"/>
    </row>
    <row r="24" spans="1:4" ht="28.5" x14ac:dyDescent="0.35">
      <c r="A24" s="294"/>
      <c r="B24" s="296" t="s">
        <v>374</v>
      </c>
      <c r="C24" s="53"/>
      <c r="D24" s="57"/>
    </row>
    <row r="25" spans="1:4" ht="14.25" x14ac:dyDescent="0.35">
      <c r="A25" s="294"/>
      <c r="B25" s="296" t="s">
        <v>375</v>
      </c>
      <c r="C25" s="53"/>
      <c r="D25" s="57"/>
    </row>
    <row r="26" spans="1:4" ht="28.5" x14ac:dyDescent="0.35">
      <c r="A26" s="294"/>
      <c r="B26" s="296" t="s">
        <v>376</v>
      </c>
      <c r="C26" s="53"/>
      <c r="D26" s="57"/>
    </row>
    <row r="27" spans="1:4" ht="14.25" x14ac:dyDescent="0.35">
      <c r="A27" s="294"/>
      <c r="B27" s="296" t="s">
        <v>181</v>
      </c>
      <c r="C27" s="53"/>
      <c r="D27" s="57"/>
    </row>
    <row r="28" spans="1:4" ht="42.75" x14ac:dyDescent="0.35">
      <c r="A28" s="294"/>
      <c r="B28" s="296" t="s">
        <v>342</v>
      </c>
      <c r="C28" s="53"/>
      <c r="D28" s="57"/>
    </row>
    <row r="29" spans="1:4" ht="14.25" x14ac:dyDescent="0.35">
      <c r="A29" s="294"/>
      <c r="B29" s="296" t="s">
        <v>182</v>
      </c>
      <c r="C29" s="53"/>
      <c r="D29" s="57"/>
    </row>
    <row r="30" spans="1:4" ht="28.5" x14ac:dyDescent="0.35">
      <c r="A30" s="294"/>
      <c r="B30" s="296" t="s">
        <v>343</v>
      </c>
      <c r="C30" s="53"/>
      <c r="D30" s="57"/>
    </row>
    <row r="31" spans="1:4" ht="14.25" x14ac:dyDescent="0.35">
      <c r="A31" s="294"/>
      <c r="B31" s="296" t="s">
        <v>344</v>
      </c>
      <c r="C31" s="53"/>
      <c r="D31" s="57"/>
    </row>
    <row r="32" spans="1:4" ht="28.5" x14ac:dyDescent="0.35">
      <c r="A32" s="294"/>
      <c r="B32" s="296" t="s">
        <v>345</v>
      </c>
      <c r="C32" s="53"/>
      <c r="D32" s="57"/>
    </row>
    <row r="33" spans="1:4" ht="14.25" x14ac:dyDescent="0.35">
      <c r="A33" s="294"/>
      <c r="B33" s="296" t="s">
        <v>377</v>
      </c>
      <c r="C33" s="53"/>
      <c r="D33" s="57"/>
    </row>
    <row r="34" spans="1:4" ht="14.25" x14ac:dyDescent="0.35">
      <c r="A34" s="294"/>
      <c r="B34" s="296" t="s">
        <v>346</v>
      </c>
      <c r="C34" s="53"/>
      <c r="D34" s="57"/>
    </row>
    <row r="35" spans="1:4" x14ac:dyDescent="0.35">
      <c r="A35" s="299"/>
      <c r="B35"/>
    </row>
  </sheetData>
  <sheetProtection algorithmName="SHA-512" hashValue="atLxitjgktXF36dOwIH7XnN+QGUnrO9fBxgGfdPuFF6N5uD2H7UXvfHGSTsKxUnjh0ZEbA4ec6788K3no3aPwg==" saltValue="/+6yUvtxuLQj0cP3mY8OpA==" spinCount="100000" sheet="1" objects="1" scenarios="1"/>
  <mergeCells count="1">
    <mergeCell ref="A13:A1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48C36-B5CF-446F-A07E-4C6E786A2528}">
  <sheetPr codeName="Sheet6"/>
  <dimension ref="B1:N303"/>
  <sheetViews>
    <sheetView workbookViewId="0">
      <selection activeCell="K1" sqref="K1"/>
    </sheetView>
  </sheetViews>
  <sheetFormatPr defaultRowHeight="12.75" x14ac:dyDescent="0.35"/>
  <cols>
    <col min="2" max="2" width="43.86328125" bestFit="1" customWidth="1"/>
    <col min="3" max="3" width="12.265625" style="31" hidden="1" customWidth="1"/>
    <col min="4" max="4" width="13.06640625" hidden="1" customWidth="1"/>
    <col min="5" max="5" width="13.06640625" style="34" hidden="1" customWidth="1"/>
    <col min="6" max="6" width="13.06640625" style="69" hidden="1" customWidth="1"/>
    <col min="7" max="8" width="12" hidden="1" customWidth="1"/>
    <col min="9" max="11" width="9.796875" bestFit="1" customWidth="1"/>
    <col min="12" max="12" width="11.06640625" bestFit="1" customWidth="1"/>
    <col min="14" max="14" width="63.796875" customWidth="1"/>
  </cols>
  <sheetData>
    <row r="1" spans="2:14" ht="12.75" customHeight="1" x14ac:dyDescent="0.35">
      <c r="B1" s="145" t="s">
        <v>347</v>
      </c>
      <c r="C1" s="76"/>
      <c r="D1" s="52"/>
      <c r="E1" s="52"/>
      <c r="F1" s="68"/>
    </row>
    <row r="2" spans="2:14" ht="12.75" customHeight="1" x14ac:dyDescent="0.35">
      <c r="B2" s="52"/>
      <c r="C2" s="76"/>
      <c r="D2" s="52"/>
      <c r="E2" s="52"/>
      <c r="F2" s="68"/>
    </row>
    <row r="3" spans="2:14" ht="12.75" customHeight="1" x14ac:dyDescent="0.35">
      <c r="B3" s="52"/>
      <c r="C3" s="76"/>
      <c r="D3" s="52"/>
      <c r="E3" s="52"/>
      <c r="F3" s="68"/>
    </row>
    <row r="4" spans="2:14" ht="12.75" customHeight="1" x14ac:dyDescent="0.35">
      <c r="B4" s="52"/>
      <c r="C4" s="76"/>
      <c r="D4" s="52"/>
      <c r="E4" s="52"/>
      <c r="F4" s="68"/>
    </row>
    <row r="5" spans="2:14" ht="12.75" customHeight="1" x14ac:dyDescent="0.35">
      <c r="B5" s="52"/>
      <c r="C5" s="76"/>
      <c r="D5" s="52"/>
      <c r="E5" s="52"/>
      <c r="F5" s="68"/>
    </row>
    <row r="6" spans="2:14" ht="38.25" customHeight="1" thickBot="1" x14ac:dyDescent="0.4">
      <c r="B6" s="125" t="s">
        <v>233</v>
      </c>
      <c r="C6" s="76"/>
      <c r="D6" s="52"/>
      <c r="E6" s="52"/>
      <c r="F6" s="68"/>
    </row>
    <row r="7" spans="2:14" ht="12.75" customHeight="1" thickTop="1" x14ac:dyDescent="0.35">
      <c r="I7" s="202" t="s">
        <v>294</v>
      </c>
      <c r="J7" s="207"/>
      <c r="K7" s="188"/>
      <c r="L7" s="189"/>
    </row>
    <row r="8" spans="2:14" ht="12.75" customHeight="1" x14ac:dyDescent="0.35">
      <c r="C8" s="77"/>
      <c r="F8" s="144" t="s">
        <v>140</v>
      </c>
      <c r="G8" s="144" t="s">
        <v>140</v>
      </c>
      <c r="I8" s="208"/>
      <c r="J8" s="209"/>
      <c r="K8" s="190" t="s">
        <v>140</v>
      </c>
      <c r="L8" s="191" t="s">
        <v>140</v>
      </c>
    </row>
    <row r="9" spans="2:14" ht="12.75" customHeight="1" thickBot="1" x14ac:dyDescent="0.4">
      <c r="B9" s="4"/>
      <c r="C9" s="78"/>
      <c r="D9" s="47">
        <v>43983</v>
      </c>
      <c r="E9" s="46">
        <v>44348</v>
      </c>
      <c r="F9" s="70">
        <v>44713</v>
      </c>
      <c r="G9" s="130" t="s">
        <v>238</v>
      </c>
      <c r="I9" s="192">
        <v>43983</v>
      </c>
      <c r="J9" s="193">
        <v>44348</v>
      </c>
      <c r="K9" s="194">
        <v>44713</v>
      </c>
      <c r="L9" s="195" t="s">
        <v>238</v>
      </c>
    </row>
    <row r="10" spans="2:14" ht="12.75" customHeight="1" thickTop="1" thickBot="1" x14ac:dyDescent="0.4">
      <c r="C10" s="79"/>
      <c r="D10" s="9" t="s">
        <v>223</v>
      </c>
      <c r="E10" s="44" t="s">
        <v>131</v>
      </c>
      <c r="F10" s="9" t="s">
        <v>131</v>
      </c>
      <c r="G10" s="9" t="s">
        <v>131</v>
      </c>
      <c r="I10" s="203" t="s">
        <v>223</v>
      </c>
      <c r="J10" s="204" t="s">
        <v>131</v>
      </c>
      <c r="K10" s="205" t="s">
        <v>131</v>
      </c>
      <c r="L10" s="206" t="s">
        <v>131</v>
      </c>
      <c r="N10" s="233" t="s">
        <v>297</v>
      </c>
    </row>
    <row r="11" spans="2:14" ht="12.75" customHeight="1" thickTop="1" x14ac:dyDescent="0.35">
      <c r="B11" s="3" t="s">
        <v>3</v>
      </c>
      <c r="G11" s="129"/>
      <c r="I11" s="210"/>
      <c r="J11" s="211"/>
      <c r="K11" s="211"/>
      <c r="L11" s="212"/>
      <c r="N11" s="234"/>
    </row>
    <row r="12" spans="2:14" ht="12.75" customHeight="1" x14ac:dyDescent="0.35">
      <c r="B12" s="3" t="s">
        <v>4</v>
      </c>
      <c r="C12" s="81"/>
      <c r="D12" s="103">
        <v>45700</v>
      </c>
      <c r="E12" s="103">
        <v>36700</v>
      </c>
      <c r="F12" s="103">
        <v>36700</v>
      </c>
      <c r="G12" s="103">
        <f>'BASE - Pre CV-19'!O19</f>
        <v>23700</v>
      </c>
      <c r="I12" s="196">
        <f>D12</f>
        <v>45700</v>
      </c>
      <c r="J12" s="197">
        <f t="shared" ref="J12:L12" si="0">E12</f>
        <v>36700</v>
      </c>
      <c r="K12" s="197">
        <f t="shared" si="0"/>
        <v>36700</v>
      </c>
      <c r="L12" s="198">
        <f t="shared" si="0"/>
        <v>23700</v>
      </c>
      <c r="M12" s="138"/>
      <c r="N12" s="234" t="s">
        <v>348</v>
      </c>
    </row>
    <row r="13" spans="2:14" ht="12.75" customHeight="1" x14ac:dyDescent="0.35">
      <c r="C13" s="100" t="s">
        <v>224</v>
      </c>
      <c r="D13" s="104">
        <v>33984</v>
      </c>
      <c r="E13" s="105">
        <v>27500</v>
      </c>
      <c r="F13" s="104">
        <v>27500</v>
      </c>
      <c r="G13" s="104">
        <f>G12</f>
        <v>23700</v>
      </c>
      <c r="I13" s="213"/>
      <c r="J13" s="214"/>
      <c r="K13" s="214"/>
      <c r="L13" s="215"/>
      <c r="N13" s="234"/>
    </row>
    <row r="14" spans="2:14" ht="12.75" customHeight="1" x14ac:dyDescent="0.35">
      <c r="B14" s="3" t="s">
        <v>10</v>
      </c>
      <c r="D14" s="106"/>
      <c r="E14" s="107"/>
      <c r="F14" s="108"/>
      <c r="I14" s="210"/>
      <c r="J14" s="211"/>
      <c r="K14" s="211"/>
      <c r="L14" s="211"/>
      <c r="N14" s="234"/>
    </row>
    <row r="15" spans="2:14" ht="12.75" customHeight="1" x14ac:dyDescent="0.35">
      <c r="B15" s="3" t="s">
        <v>11</v>
      </c>
      <c r="D15" s="103">
        <v>181992.66750000001</v>
      </c>
      <c r="E15" s="103">
        <v>191092.30087500002</v>
      </c>
      <c r="F15" s="103">
        <v>200646.91591875005</v>
      </c>
      <c r="G15" s="103">
        <f>'BASE - Pre CV-19'!O31</f>
        <v>210679.26171468751</v>
      </c>
      <c r="I15" s="196">
        <f>D15</f>
        <v>181992.66750000001</v>
      </c>
      <c r="J15" s="197">
        <f t="shared" ref="J15:L15" si="1">E15</f>
        <v>191092.30087500002</v>
      </c>
      <c r="K15" s="197">
        <f t="shared" si="1"/>
        <v>200646.91591875005</v>
      </c>
      <c r="L15" s="198">
        <f t="shared" si="1"/>
        <v>210679.26171468751</v>
      </c>
      <c r="M15" s="138"/>
      <c r="N15" s="234" t="s">
        <v>349</v>
      </c>
    </row>
    <row r="16" spans="2:14" ht="12.75" customHeight="1" x14ac:dyDescent="0.35">
      <c r="C16" s="100" t="s">
        <v>224</v>
      </c>
      <c r="D16" s="105">
        <v>192659</v>
      </c>
      <c r="E16" s="105">
        <v>192109</v>
      </c>
      <c r="F16" s="105">
        <v>201704</v>
      </c>
      <c r="G16" s="105">
        <f>G15</f>
        <v>210679.26171468751</v>
      </c>
      <c r="I16" s="216"/>
      <c r="J16" s="217"/>
      <c r="K16" s="217"/>
      <c r="L16" s="218"/>
      <c r="M16" s="138"/>
      <c r="N16" s="234"/>
    </row>
    <row r="17" spans="2:14" ht="12.75" customHeight="1" x14ac:dyDescent="0.35">
      <c r="B17" s="3" t="s">
        <v>19</v>
      </c>
      <c r="C17" s="81"/>
      <c r="D17" s="103">
        <v>274023.0999545455</v>
      </c>
      <c r="E17" s="103">
        <v>287724.25495227281</v>
      </c>
      <c r="F17" s="103">
        <v>302110.46769988647</v>
      </c>
      <c r="G17" s="103">
        <f>'BASE - Pre CV-19'!O39</f>
        <v>290842.64897795231</v>
      </c>
      <c r="H17" s="133"/>
      <c r="I17" s="196">
        <f>D17</f>
        <v>274023.0999545455</v>
      </c>
      <c r="J17" s="197">
        <f t="shared" ref="J17:L17" si="2">E17</f>
        <v>287724.25495227281</v>
      </c>
      <c r="K17" s="197">
        <f t="shared" si="2"/>
        <v>302110.46769988647</v>
      </c>
      <c r="L17" s="198">
        <f t="shared" si="2"/>
        <v>290842.64897795231</v>
      </c>
      <c r="M17" s="138"/>
      <c r="N17" s="234" t="s">
        <v>349</v>
      </c>
    </row>
    <row r="18" spans="2:14" ht="12.75" customHeight="1" x14ac:dyDescent="0.35">
      <c r="C18" s="100" t="s">
        <v>224</v>
      </c>
      <c r="D18" s="104">
        <v>258682</v>
      </c>
      <c r="E18" s="105">
        <v>284170</v>
      </c>
      <c r="F18" s="104">
        <f>(346*1.02)*830</f>
        <v>292923.60000000003</v>
      </c>
      <c r="G18" s="105">
        <f>G17</f>
        <v>290842.64897795231</v>
      </c>
      <c r="I18" s="213"/>
      <c r="J18" s="214"/>
      <c r="K18" s="214"/>
      <c r="L18" s="215"/>
      <c r="N18" s="234"/>
    </row>
    <row r="19" spans="2:14" ht="12.75" customHeight="1" thickBot="1" x14ac:dyDescent="0.4">
      <c r="B19" s="6" t="s">
        <v>27</v>
      </c>
      <c r="C19" s="82"/>
      <c r="D19" s="103">
        <f>D17+D15</f>
        <v>456015.76745454548</v>
      </c>
      <c r="E19" s="103">
        <f>E17+E15</f>
        <v>478816.55582727282</v>
      </c>
      <c r="F19" s="103">
        <f>F17+F15</f>
        <v>502757.38361863652</v>
      </c>
      <c r="G19" s="103">
        <f>G17+G15</f>
        <v>501521.91069263982</v>
      </c>
      <c r="I19" s="196">
        <f>D19</f>
        <v>456015.76745454548</v>
      </c>
      <c r="J19" s="197">
        <f t="shared" ref="J19:L19" si="3">E19</f>
        <v>478816.55582727282</v>
      </c>
      <c r="K19" s="197">
        <f t="shared" si="3"/>
        <v>502757.38361863652</v>
      </c>
      <c r="L19" s="198">
        <f t="shared" si="3"/>
        <v>501521.91069263982</v>
      </c>
      <c r="M19" s="138"/>
      <c r="N19" s="234"/>
    </row>
    <row r="20" spans="2:14" ht="12.75" customHeight="1" thickTop="1" x14ac:dyDescent="0.35">
      <c r="C20" s="100" t="s">
        <v>224</v>
      </c>
      <c r="D20" s="105">
        <f>D18+D16</f>
        <v>451341</v>
      </c>
      <c r="E20" s="105">
        <f>E18+E16</f>
        <v>476279</v>
      </c>
      <c r="F20" s="105">
        <f>F18+F16</f>
        <v>494627.60000000003</v>
      </c>
      <c r="G20" s="105">
        <f>G18+G16</f>
        <v>501521.91069263982</v>
      </c>
      <c r="I20" s="216"/>
      <c r="J20" s="217"/>
      <c r="K20" s="217"/>
      <c r="L20" s="218"/>
      <c r="M20" s="138"/>
      <c r="N20" s="234"/>
    </row>
    <row r="21" spans="2:14" ht="12.75" hidden="1" customHeight="1" x14ac:dyDescent="0.35">
      <c r="B21" s="1" t="s">
        <v>34</v>
      </c>
      <c r="C21" s="80"/>
      <c r="D21" s="101"/>
      <c r="E21" s="109"/>
      <c r="F21" s="101"/>
      <c r="I21" s="196"/>
      <c r="J21" s="197"/>
      <c r="K21" s="197"/>
      <c r="L21" s="198"/>
      <c r="M21" s="138"/>
      <c r="N21" s="234"/>
    </row>
    <row r="22" spans="2:14" ht="12.75" customHeight="1" x14ac:dyDescent="0.35">
      <c r="B22" s="3" t="s">
        <v>28</v>
      </c>
      <c r="C22" s="83"/>
      <c r="D22" s="103">
        <v>105480</v>
      </c>
      <c r="E22" s="103">
        <v>110754</v>
      </c>
      <c r="F22" s="103">
        <v>110754</v>
      </c>
      <c r="G22" s="103">
        <f>'BASE - Pre CV-19'!O50</f>
        <v>116291.7</v>
      </c>
      <c r="I22" s="196">
        <f>D22</f>
        <v>105480</v>
      </c>
      <c r="J22" s="197">
        <f t="shared" ref="J22:L22" si="4">E22</f>
        <v>110754</v>
      </c>
      <c r="K22" s="197">
        <f t="shared" si="4"/>
        <v>110754</v>
      </c>
      <c r="L22" s="198">
        <f t="shared" si="4"/>
        <v>116291.7</v>
      </c>
      <c r="M22" s="138"/>
      <c r="N22" s="234"/>
    </row>
    <row r="23" spans="2:14" ht="12.75" customHeight="1" x14ac:dyDescent="0.35">
      <c r="C23" s="100" t="s">
        <v>224</v>
      </c>
      <c r="D23" s="105">
        <v>112410</v>
      </c>
      <c r="E23" s="105">
        <v>114568</v>
      </c>
      <c r="F23" s="105">
        <v>120296</v>
      </c>
      <c r="G23" s="105">
        <f>G22</f>
        <v>116291.7</v>
      </c>
      <c r="I23" s="216"/>
      <c r="J23" s="217"/>
      <c r="K23" s="217"/>
      <c r="L23" s="218"/>
      <c r="M23" s="138"/>
      <c r="N23" s="234"/>
    </row>
    <row r="24" spans="2:14" ht="12.75" customHeight="1" thickBot="1" x14ac:dyDescent="0.4">
      <c r="B24" s="6" t="s">
        <v>36</v>
      </c>
      <c r="C24" s="85"/>
      <c r="D24" s="103">
        <f>D22+D19</f>
        <v>561495.76745454548</v>
      </c>
      <c r="E24" s="103">
        <f>E22+E19</f>
        <v>589570.55582727282</v>
      </c>
      <c r="F24" s="103">
        <f>F22+F19</f>
        <v>613511.38361863652</v>
      </c>
      <c r="G24" s="103">
        <f>G22+G19</f>
        <v>617813.61069263984</v>
      </c>
      <c r="I24" s="196">
        <f>D24</f>
        <v>561495.76745454548</v>
      </c>
      <c r="J24" s="197">
        <f t="shared" ref="J24:L24" si="5">E24</f>
        <v>589570.55582727282</v>
      </c>
      <c r="K24" s="197">
        <f t="shared" si="5"/>
        <v>613511.38361863652</v>
      </c>
      <c r="L24" s="198">
        <f t="shared" si="5"/>
        <v>617813.61069263984</v>
      </c>
      <c r="M24" s="138"/>
      <c r="N24" s="234" t="s">
        <v>299</v>
      </c>
    </row>
    <row r="25" spans="2:14" ht="12.75" customHeight="1" thickTop="1" x14ac:dyDescent="0.35">
      <c r="C25" s="100" t="s">
        <v>224</v>
      </c>
      <c r="D25" s="105">
        <f>D23+D20</f>
        <v>563751</v>
      </c>
      <c r="E25" s="105">
        <f>E23+E20</f>
        <v>590847</v>
      </c>
      <c r="F25" s="105">
        <f>F23+F20</f>
        <v>614923.60000000009</v>
      </c>
      <c r="G25" s="105">
        <f>G23+G20</f>
        <v>617813.61069263984</v>
      </c>
      <c r="I25" s="216"/>
      <c r="J25" s="217"/>
      <c r="K25" s="217"/>
      <c r="L25" s="218"/>
      <c r="M25" s="138"/>
      <c r="N25" s="234"/>
    </row>
    <row r="26" spans="2:14" ht="12.75" customHeight="1" x14ac:dyDescent="0.35">
      <c r="B26" s="3" t="s">
        <v>37</v>
      </c>
      <c r="D26" s="106"/>
      <c r="E26" s="107"/>
      <c r="F26" s="108"/>
      <c r="I26" s="222"/>
      <c r="J26" s="223"/>
      <c r="K26" s="223"/>
      <c r="L26" s="224"/>
      <c r="M26" s="138"/>
      <c r="N26" s="234"/>
    </row>
    <row r="27" spans="2:14" ht="12.75" customHeight="1" x14ac:dyDescent="0.35">
      <c r="B27" s="1" t="s">
        <v>38</v>
      </c>
      <c r="C27" s="80"/>
      <c r="D27" s="101">
        <v>6300</v>
      </c>
      <c r="E27" s="109">
        <v>7000</v>
      </c>
      <c r="F27" s="101">
        <v>7500</v>
      </c>
      <c r="G27" s="32"/>
      <c r="I27" s="219"/>
      <c r="J27" s="220"/>
      <c r="K27" s="220"/>
      <c r="L27" s="221"/>
      <c r="M27" s="138"/>
      <c r="N27" s="234"/>
    </row>
    <row r="28" spans="2:14" ht="12.75" customHeight="1" x14ac:dyDescent="0.35">
      <c r="B28" s="5" t="s">
        <v>41</v>
      </c>
      <c r="C28" s="83"/>
      <c r="D28" s="103">
        <v>6300</v>
      </c>
      <c r="E28" s="103">
        <v>7000</v>
      </c>
      <c r="F28" s="103">
        <v>7500</v>
      </c>
      <c r="G28" s="103">
        <f>'BASE - Pre CV-19'!O58</f>
        <v>7650</v>
      </c>
      <c r="I28" s="196">
        <f>D28</f>
        <v>6300</v>
      </c>
      <c r="J28" s="197">
        <f t="shared" ref="J28:L28" si="6">E28</f>
        <v>7000</v>
      </c>
      <c r="K28" s="197">
        <f t="shared" si="6"/>
        <v>7500</v>
      </c>
      <c r="L28" s="198">
        <f t="shared" si="6"/>
        <v>7650</v>
      </c>
      <c r="M28" s="138"/>
      <c r="N28" s="234"/>
    </row>
    <row r="29" spans="2:14" ht="12.75" customHeight="1" x14ac:dyDescent="0.35">
      <c r="C29" s="100" t="s">
        <v>224</v>
      </c>
      <c r="D29" s="105">
        <v>10856</v>
      </c>
      <c r="E29" s="105">
        <v>7000</v>
      </c>
      <c r="F29" s="105">
        <v>7500</v>
      </c>
      <c r="G29" s="105">
        <f>G28</f>
        <v>7650</v>
      </c>
      <c r="I29" s="216"/>
      <c r="J29" s="217"/>
      <c r="K29" s="217"/>
      <c r="L29" s="218"/>
      <c r="M29" s="138"/>
      <c r="N29" s="234"/>
    </row>
    <row r="30" spans="2:14" ht="12.75" customHeight="1" x14ac:dyDescent="0.35">
      <c r="B30" s="3" t="s">
        <v>42</v>
      </c>
      <c r="C30" s="84"/>
      <c r="D30" s="106"/>
      <c r="E30" s="107"/>
      <c r="F30" s="108"/>
      <c r="I30" s="222"/>
      <c r="J30" s="223"/>
      <c r="K30" s="223"/>
      <c r="L30" s="224"/>
      <c r="M30" s="138"/>
      <c r="N30" s="234"/>
    </row>
    <row r="31" spans="2:14" ht="12.75" customHeight="1" x14ac:dyDescent="0.35">
      <c r="B31" s="1" t="s">
        <v>44</v>
      </c>
      <c r="C31" s="83"/>
      <c r="D31" s="103">
        <v>34000</v>
      </c>
      <c r="E31" s="103">
        <v>35000</v>
      </c>
      <c r="F31" s="103">
        <v>36000</v>
      </c>
      <c r="G31" s="103">
        <f>'BASE - Pre CV-19'!O64</f>
        <v>38000</v>
      </c>
      <c r="I31" s="196">
        <f>D31</f>
        <v>34000</v>
      </c>
      <c r="J31" s="197">
        <f t="shared" ref="J31:L31" si="7">E31</f>
        <v>35000</v>
      </c>
      <c r="K31" s="197">
        <f t="shared" si="7"/>
        <v>36000</v>
      </c>
      <c r="L31" s="198">
        <f t="shared" si="7"/>
        <v>38000</v>
      </c>
      <c r="M31" s="138"/>
      <c r="N31" s="234" t="s">
        <v>350</v>
      </c>
    </row>
    <row r="32" spans="2:14" ht="12.75" customHeight="1" x14ac:dyDescent="0.35">
      <c r="B32" s="290"/>
      <c r="C32" s="100" t="s">
        <v>224</v>
      </c>
      <c r="D32" s="113">
        <v>0</v>
      </c>
      <c r="E32" s="113">
        <v>35000</v>
      </c>
      <c r="F32" s="113">
        <v>36000</v>
      </c>
      <c r="G32" s="105">
        <f>G31</f>
        <v>38000</v>
      </c>
      <c r="I32" s="216"/>
      <c r="J32" s="217"/>
      <c r="K32" s="217"/>
      <c r="L32" s="218"/>
      <c r="M32" s="138"/>
      <c r="N32" s="234"/>
    </row>
    <row r="33" spans="2:14" ht="12.75" customHeight="1" x14ac:dyDescent="0.35">
      <c r="B33" s="1" t="s">
        <v>47</v>
      </c>
      <c r="C33" s="83"/>
      <c r="D33" s="103">
        <v>97416.709999999992</v>
      </c>
      <c r="E33" s="103">
        <v>0</v>
      </c>
      <c r="F33" s="103">
        <v>103000</v>
      </c>
      <c r="G33" s="103">
        <f>'BASE - Pre CV-19'!O69</f>
        <v>0</v>
      </c>
      <c r="I33" s="196">
        <f>D33</f>
        <v>97416.709999999992</v>
      </c>
      <c r="J33" s="197">
        <f t="shared" ref="J33:L33" si="8">E33</f>
        <v>0</v>
      </c>
      <c r="K33" s="197">
        <f t="shared" si="8"/>
        <v>103000</v>
      </c>
      <c r="L33" s="198">
        <f t="shared" si="8"/>
        <v>0</v>
      </c>
      <c r="M33" s="138"/>
      <c r="N33" s="234" t="s">
        <v>351</v>
      </c>
    </row>
    <row r="34" spans="2:14" ht="12.75" customHeight="1" x14ac:dyDescent="0.35">
      <c r="B34" s="290"/>
      <c r="C34" s="100" t="s">
        <v>224</v>
      </c>
      <c r="D34" s="113">
        <v>68880</v>
      </c>
      <c r="E34" s="113"/>
      <c r="F34" s="113">
        <v>103000</v>
      </c>
      <c r="G34" s="105">
        <f>G33</f>
        <v>0</v>
      </c>
      <c r="I34" s="216"/>
      <c r="J34" s="217"/>
      <c r="K34" s="217"/>
      <c r="L34" s="218"/>
      <c r="M34" s="138"/>
      <c r="N34" s="234"/>
    </row>
    <row r="35" spans="2:14" ht="12.75" customHeight="1" x14ac:dyDescent="0.35">
      <c r="B35" s="1" t="s">
        <v>51</v>
      </c>
      <c r="C35" s="83"/>
      <c r="D35" s="103">
        <v>0</v>
      </c>
      <c r="E35" s="103">
        <v>127810.85</v>
      </c>
      <c r="F35" s="103"/>
      <c r="G35" s="103">
        <f>'BASE - Pre CV-19'!O74</f>
        <v>133576.39250000002</v>
      </c>
      <c r="I35" s="196">
        <f>D35</f>
        <v>0</v>
      </c>
      <c r="J35" s="197">
        <f t="shared" ref="J35:L35" si="9">E35</f>
        <v>127810.85</v>
      </c>
      <c r="K35" s="197">
        <f t="shared" si="9"/>
        <v>0</v>
      </c>
      <c r="L35" s="198">
        <f t="shared" si="9"/>
        <v>133576.39250000002</v>
      </c>
      <c r="M35" s="138"/>
      <c r="N35" s="234" t="s">
        <v>352</v>
      </c>
    </row>
    <row r="36" spans="2:14" ht="12.75" customHeight="1" x14ac:dyDescent="0.35">
      <c r="B36" s="290"/>
      <c r="C36" s="100" t="s">
        <v>224</v>
      </c>
      <c r="D36" s="113">
        <v>0</v>
      </c>
      <c r="E36" s="113">
        <v>127811</v>
      </c>
      <c r="F36" s="113"/>
      <c r="G36" s="105">
        <f>G35</f>
        <v>133576.39250000002</v>
      </c>
      <c r="I36" s="216"/>
      <c r="J36" s="217"/>
      <c r="K36" s="217"/>
      <c r="L36" s="218"/>
      <c r="M36" s="138"/>
      <c r="N36" s="234"/>
    </row>
    <row r="37" spans="2:14" ht="12.75" customHeight="1" x14ac:dyDescent="0.35">
      <c r="B37" s="1" t="s">
        <v>55</v>
      </c>
      <c r="C37" s="83"/>
      <c r="D37" s="103">
        <v>0</v>
      </c>
      <c r="E37" s="103">
        <v>201960</v>
      </c>
      <c r="F37" s="103">
        <v>0</v>
      </c>
      <c r="G37" s="103">
        <f>'BASE - Pre CV-19'!O79</f>
        <v>208508.40000000002</v>
      </c>
      <c r="I37" s="196">
        <f>D37</f>
        <v>0</v>
      </c>
      <c r="J37" s="197">
        <f t="shared" ref="J37:L37" si="10">E37</f>
        <v>201960</v>
      </c>
      <c r="K37" s="197">
        <f t="shared" si="10"/>
        <v>0</v>
      </c>
      <c r="L37" s="198">
        <f t="shared" si="10"/>
        <v>208508.40000000002</v>
      </c>
      <c r="M37" s="138"/>
      <c r="N37" s="234" t="s">
        <v>353</v>
      </c>
    </row>
    <row r="38" spans="2:14" ht="12.75" customHeight="1" x14ac:dyDescent="0.35">
      <c r="B38" s="290"/>
      <c r="C38" s="100" t="s">
        <v>224</v>
      </c>
      <c r="D38" s="113"/>
      <c r="E38" s="113">
        <v>201960</v>
      </c>
      <c r="F38" s="113"/>
      <c r="G38" s="105">
        <f>G37</f>
        <v>208508.40000000002</v>
      </c>
      <c r="I38" s="216"/>
      <c r="J38" s="217"/>
      <c r="K38" s="217"/>
      <c r="L38" s="218"/>
      <c r="M38" s="138"/>
      <c r="N38" s="234"/>
    </row>
    <row r="39" spans="2:14" ht="12.75" customHeight="1" x14ac:dyDescent="0.35">
      <c r="B39" s="1" t="s">
        <v>59</v>
      </c>
      <c r="C39" s="83"/>
      <c r="D39" s="103">
        <v>135000</v>
      </c>
      <c r="E39" s="103">
        <v>0</v>
      </c>
      <c r="F39" s="103">
        <v>5000</v>
      </c>
      <c r="G39" s="103">
        <f>'BASE - Pre CV-19'!O84</f>
        <v>5000</v>
      </c>
      <c r="I39" s="196">
        <f>D39</f>
        <v>135000</v>
      </c>
      <c r="J39" s="197">
        <f t="shared" ref="J39:L39" si="11">E39</f>
        <v>0</v>
      </c>
      <c r="K39" s="197">
        <f t="shared" si="11"/>
        <v>5000</v>
      </c>
      <c r="L39" s="198">
        <f t="shared" si="11"/>
        <v>5000</v>
      </c>
      <c r="M39" s="138"/>
      <c r="N39" s="234"/>
    </row>
    <row r="40" spans="2:14" ht="12.75" customHeight="1" x14ac:dyDescent="0.35">
      <c r="B40" s="98"/>
      <c r="C40" s="100" t="s">
        <v>224</v>
      </c>
      <c r="D40" s="113">
        <v>114827</v>
      </c>
      <c r="E40" s="113"/>
      <c r="F40" s="113">
        <v>5000</v>
      </c>
      <c r="G40" s="105">
        <f>G39</f>
        <v>5000</v>
      </c>
      <c r="I40" s="196"/>
      <c r="J40" s="197"/>
      <c r="K40" s="197"/>
      <c r="L40" s="198"/>
      <c r="M40" s="138"/>
      <c r="N40" s="234"/>
    </row>
    <row r="41" spans="2:14" ht="12.75" customHeight="1" x14ac:dyDescent="0.35">
      <c r="C41" s="84"/>
      <c r="D41" s="106"/>
      <c r="E41" s="107"/>
      <c r="F41" s="108"/>
      <c r="I41" s="196"/>
      <c r="J41" s="197"/>
      <c r="K41" s="197"/>
      <c r="L41" s="198"/>
      <c r="M41" s="138"/>
      <c r="N41" s="234"/>
    </row>
    <row r="42" spans="2:14" ht="29.65" customHeight="1" thickBot="1" x14ac:dyDescent="0.4">
      <c r="B42" s="6" t="s">
        <v>62</v>
      </c>
      <c r="C42" s="85"/>
      <c r="D42" s="116">
        <f>D39+D37+D35+D33+D31</f>
        <v>266416.70999999996</v>
      </c>
      <c r="E42" s="116">
        <f>E39+E37+E35+E33+E31</f>
        <v>364770.85</v>
      </c>
      <c r="F42" s="116">
        <f>F39+F37+F35+F33+F31</f>
        <v>144000</v>
      </c>
      <c r="G42" s="103">
        <f>'BASE - Pre CV-19'!O86</f>
        <v>385084.79250000004</v>
      </c>
      <c r="I42" s="196">
        <f>D42</f>
        <v>266416.70999999996</v>
      </c>
      <c r="J42" s="197">
        <f t="shared" ref="J42:L42" si="12">E42</f>
        <v>364770.85</v>
      </c>
      <c r="K42" s="197">
        <f t="shared" si="12"/>
        <v>144000</v>
      </c>
      <c r="L42" s="198">
        <f t="shared" si="12"/>
        <v>385084.79250000004</v>
      </c>
      <c r="M42" s="138"/>
      <c r="N42" s="237"/>
    </row>
    <row r="43" spans="2:14" ht="12.75" customHeight="1" thickTop="1" x14ac:dyDescent="0.35">
      <c r="B43" s="98"/>
      <c r="C43" s="100" t="s">
        <v>224</v>
      </c>
      <c r="D43" s="113">
        <f>D40+D38+D36+D34+D32</f>
        <v>183707</v>
      </c>
      <c r="E43" s="113">
        <f>E40+E38+E36+E34+E32</f>
        <v>364771</v>
      </c>
      <c r="F43" s="113">
        <f>F40+F38+F36+F34+F32</f>
        <v>144000</v>
      </c>
      <c r="G43" s="105">
        <f>G42</f>
        <v>385084.79250000004</v>
      </c>
      <c r="I43" s="216"/>
      <c r="J43" s="217"/>
      <c r="K43" s="217"/>
      <c r="L43" s="218"/>
      <c r="M43" s="138"/>
      <c r="N43" s="234"/>
    </row>
    <row r="44" spans="2:14" ht="12.75" customHeight="1" x14ac:dyDescent="0.35">
      <c r="C44" s="84"/>
      <c r="D44" s="106"/>
      <c r="E44" s="107"/>
      <c r="F44" s="108"/>
      <c r="I44" s="219"/>
      <c r="J44" s="220"/>
      <c r="K44" s="220"/>
      <c r="L44" s="221"/>
      <c r="M44" s="138"/>
      <c r="N44" s="234"/>
    </row>
    <row r="45" spans="2:14" ht="12.75" customHeight="1" thickBot="1" x14ac:dyDescent="0.4">
      <c r="B45" s="6" t="s">
        <v>63</v>
      </c>
      <c r="C45" s="85"/>
      <c r="D45" s="103">
        <f>D42+D28+D24+D12</f>
        <v>879912.47745454544</v>
      </c>
      <c r="E45" s="103">
        <f>E42+E28+E24+E12</f>
        <v>998041.4058272728</v>
      </c>
      <c r="F45" s="103">
        <f>F42+F28+F24+F12</f>
        <v>801711.38361863652</v>
      </c>
      <c r="G45" s="103">
        <f>G42+G28+G24+G12</f>
        <v>1034248.4031926398</v>
      </c>
      <c r="H45" s="106"/>
      <c r="I45" s="196">
        <f>D45</f>
        <v>879912.47745454544</v>
      </c>
      <c r="J45" s="197">
        <f t="shared" ref="J45:L45" si="13">E45</f>
        <v>998041.4058272728</v>
      </c>
      <c r="K45" s="197">
        <f t="shared" si="13"/>
        <v>801711.38361863652</v>
      </c>
      <c r="L45" s="198">
        <f t="shared" si="13"/>
        <v>1034248.4031926398</v>
      </c>
      <c r="M45" s="138"/>
      <c r="N45" s="234"/>
    </row>
    <row r="46" spans="2:14" ht="12.75" customHeight="1" thickTop="1" x14ac:dyDescent="0.35">
      <c r="B46" s="98"/>
      <c r="C46" s="100" t="s">
        <v>224</v>
      </c>
      <c r="D46" s="113">
        <f>D43+D29+D25+D13</f>
        <v>792298</v>
      </c>
      <c r="E46" s="113">
        <f>E43+E29+E25+E13</f>
        <v>990118</v>
      </c>
      <c r="F46" s="113">
        <f>F43+F29+F25+F13</f>
        <v>793923.60000000009</v>
      </c>
      <c r="G46" s="113">
        <f>G43+G29+G25+G13</f>
        <v>1034248.4031926398</v>
      </c>
      <c r="I46" s="216"/>
      <c r="J46" s="217"/>
      <c r="K46" s="217"/>
      <c r="L46" s="218"/>
      <c r="M46" s="138"/>
      <c r="N46" s="234"/>
    </row>
    <row r="47" spans="2:14" ht="12.75" customHeight="1" x14ac:dyDescent="0.35">
      <c r="B47" s="98"/>
      <c r="C47" s="99"/>
      <c r="D47" s="115"/>
      <c r="E47" s="115"/>
      <c r="F47" s="116"/>
      <c r="I47" s="222"/>
      <c r="J47" s="223"/>
      <c r="K47" s="223"/>
      <c r="L47" s="224"/>
      <c r="M47" s="138"/>
      <c r="N47" s="234"/>
    </row>
    <row r="48" spans="2:14" ht="12.75" customHeight="1" x14ac:dyDescent="0.35">
      <c r="B48" s="3" t="s">
        <v>65</v>
      </c>
      <c r="D48" s="106"/>
      <c r="E48" s="107"/>
      <c r="F48" s="108"/>
      <c r="I48" s="222"/>
      <c r="J48" s="223"/>
      <c r="K48" s="223"/>
      <c r="L48" s="224"/>
      <c r="M48" s="138"/>
      <c r="N48" s="234"/>
    </row>
    <row r="49" spans="2:14" ht="12.75" customHeight="1" x14ac:dyDescent="0.35">
      <c r="B49" s="3"/>
      <c r="D49" s="106"/>
      <c r="E49" s="107"/>
      <c r="F49" s="108"/>
      <c r="I49" s="222"/>
      <c r="J49" s="223"/>
      <c r="K49" s="223"/>
      <c r="L49" s="224"/>
      <c r="M49" s="138"/>
      <c r="N49" s="234"/>
    </row>
    <row r="50" spans="2:14" ht="12.75" customHeight="1" x14ac:dyDescent="0.35">
      <c r="B50" t="s">
        <v>226</v>
      </c>
      <c r="D50" s="105">
        <v>97066</v>
      </c>
      <c r="E50" s="107"/>
      <c r="F50" s="108"/>
      <c r="I50" s="219"/>
      <c r="J50" s="220"/>
      <c r="K50" s="220"/>
      <c r="L50" s="221"/>
      <c r="M50" s="138"/>
      <c r="N50" s="234"/>
    </row>
    <row r="51" spans="2:14" ht="12.75" customHeight="1" x14ac:dyDescent="0.35">
      <c r="B51" s="3" t="s">
        <v>225</v>
      </c>
      <c r="D51" s="103">
        <v>66700</v>
      </c>
      <c r="E51" s="103">
        <v>65834</v>
      </c>
      <c r="F51" s="103">
        <v>68990</v>
      </c>
      <c r="G51" s="103">
        <f>'BASE - Pre CV-19'!O95+'BASE - Pre CV-19'!O96+'BASE - Pre CV-19'!O100</f>
        <v>66985.125599999999</v>
      </c>
      <c r="I51" s="196">
        <f>D51</f>
        <v>66700</v>
      </c>
      <c r="J51" s="197">
        <f t="shared" ref="J51:L51" si="14">E51</f>
        <v>65834</v>
      </c>
      <c r="K51" s="197">
        <f t="shared" si="14"/>
        <v>68990</v>
      </c>
      <c r="L51" s="198">
        <f t="shared" si="14"/>
        <v>66985.125599999999</v>
      </c>
      <c r="M51" s="138"/>
      <c r="N51" s="234" t="s">
        <v>354</v>
      </c>
    </row>
    <row r="52" spans="2:14" ht="12.75" customHeight="1" x14ac:dyDescent="0.35">
      <c r="B52" s="3"/>
      <c r="C52" s="100" t="s">
        <v>224</v>
      </c>
      <c r="D52" s="105">
        <v>54993</v>
      </c>
      <c r="E52" s="105">
        <v>65834</v>
      </c>
      <c r="F52" s="105">
        <v>68990</v>
      </c>
      <c r="G52" s="105">
        <f>G51</f>
        <v>66985.125599999999</v>
      </c>
      <c r="I52" s="216"/>
      <c r="J52" s="217"/>
      <c r="K52" s="217"/>
      <c r="L52" s="218"/>
      <c r="M52" s="138"/>
      <c r="N52" s="234"/>
    </row>
    <row r="53" spans="2:14" ht="12.75" customHeight="1" x14ac:dyDescent="0.35">
      <c r="B53" s="3" t="s">
        <v>73</v>
      </c>
      <c r="C53" s="33"/>
      <c r="D53" s="103">
        <v>35391.565799999997</v>
      </c>
      <c r="E53" s="103">
        <v>36821.734484000001</v>
      </c>
      <c r="F53" s="103">
        <v>38329.059794319997</v>
      </c>
      <c r="G53" s="103">
        <f>'BASE - Pre CV-19'!O115</f>
        <v>40606.326298433603</v>
      </c>
      <c r="I53" s="196">
        <f>D53</f>
        <v>35391.565799999997</v>
      </c>
      <c r="J53" s="197">
        <f t="shared" ref="J53:L53" si="15">E53</f>
        <v>36821.734484000001</v>
      </c>
      <c r="K53" s="197">
        <f t="shared" si="15"/>
        <v>38329.059794319997</v>
      </c>
      <c r="L53" s="198">
        <f t="shared" si="15"/>
        <v>40606.326298433603</v>
      </c>
      <c r="M53" s="138"/>
      <c r="N53" s="234"/>
    </row>
    <row r="54" spans="2:14" ht="12.75" customHeight="1" x14ac:dyDescent="0.35">
      <c r="B54" s="98"/>
      <c r="C54" s="100" t="s">
        <v>224</v>
      </c>
      <c r="D54" s="113">
        <v>34069</v>
      </c>
      <c r="E54" s="113">
        <v>40797</v>
      </c>
      <c r="F54" s="113">
        <v>38330</v>
      </c>
      <c r="G54" s="105">
        <f>G53</f>
        <v>40606.326298433603</v>
      </c>
      <c r="I54" s="216"/>
      <c r="J54" s="217"/>
      <c r="K54" s="217"/>
      <c r="L54" s="218"/>
      <c r="M54" s="138"/>
      <c r="N54" s="234"/>
    </row>
    <row r="55" spans="2:14" ht="12.75" customHeight="1" x14ac:dyDescent="0.35">
      <c r="B55" s="3" t="s">
        <v>85</v>
      </c>
      <c r="C55" s="33"/>
      <c r="D55" s="103">
        <v>293552</v>
      </c>
      <c r="E55" s="103">
        <v>302669.54000000004</v>
      </c>
      <c r="F55" s="103">
        <v>311786.00579999998</v>
      </c>
      <c r="G55" s="103">
        <f>'BASE - Pre CV-19'!O129</f>
        <v>321185.30402600003</v>
      </c>
      <c r="I55" s="196">
        <f>D55</f>
        <v>293552</v>
      </c>
      <c r="J55" s="197">
        <f t="shared" ref="J55:L55" si="16">E55</f>
        <v>302669.54000000004</v>
      </c>
      <c r="K55" s="197">
        <f t="shared" si="16"/>
        <v>311786.00579999998</v>
      </c>
      <c r="L55" s="198">
        <f t="shared" si="16"/>
        <v>321185.30402600003</v>
      </c>
      <c r="M55" s="138"/>
      <c r="N55" s="234" t="s">
        <v>355</v>
      </c>
    </row>
    <row r="56" spans="2:14" ht="12.75" customHeight="1" x14ac:dyDescent="0.35">
      <c r="B56" s="98"/>
      <c r="C56" s="100" t="s">
        <v>224</v>
      </c>
      <c r="D56" s="113">
        <v>257938</v>
      </c>
      <c r="E56" s="113">
        <v>302670</v>
      </c>
      <c r="F56" s="113">
        <v>311786</v>
      </c>
      <c r="G56" s="105">
        <f>G55</f>
        <v>321185.30402600003</v>
      </c>
      <c r="I56" s="216"/>
      <c r="J56" s="217"/>
      <c r="K56" s="217"/>
      <c r="L56" s="218"/>
      <c r="M56" s="138"/>
      <c r="N56" s="234"/>
    </row>
    <row r="57" spans="2:14" ht="12.75" customHeight="1" x14ac:dyDescent="0.35">
      <c r="B57" s="3" t="s">
        <v>98</v>
      </c>
      <c r="C57" s="33"/>
      <c r="D57" s="103">
        <v>94932</v>
      </c>
      <c r="E57" s="103">
        <v>99678.6</v>
      </c>
      <c r="F57" s="103">
        <v>99678.6</v>
      </c>
      <c r="G57" s="103">
        <f>'BASE - Pre CV-19'!O136</f>
        <v>104662.53</v>
      </c>
      <c r="I57" s="196">
        <f>D57</f>
        <v>94932</v>
      </c>
      <c r="J57" s="197">
        <f t="shared" ref="J57:L57" si="17">E57</f>
        <v>99678.6</v>
      </c>
      <c r="K57" s="197">
        <f t="shared" si="17"/>
        <v>99678.6</v>
      </c>
      <c r="L57" s="198">
        <f t="shared" si="17"/>
        <v>104662.53</v>
      </c>
      <c r="M57" s="138"/>
      <c r="N57" s="234"/>
    </row>
    <row r="58" spans="2:14" ht="12.75" customHeight="1" x14ac:dyDescent="0.35">
      <c r="C58" s="100" t="s">
        <v>224</v>
      </c>
      <c r="D58" s="118">
        <v>100854</v>
      </c>
      <c r="E58" s="118">
        <v>99678</v>
      </c>
      <c r="F58" s="118">
        <v>99678</v>
      </c>
      <c r="G58" s="105">
        <f>G57</f>
        <v>104662.53</v>
      </c>
      <c r="I58" s="196"/>
      <c r="J58" s="197"/>
      <c r="K58" s="197"/>
      <c r="L58" s="198"/>
      <c r="M58" s="138"/>
      <c r="N58" s="234"/>
    </row>
    <row r="59" spans="2:14" ht="12.75" customHeight="1" x14ac:dyDescent="0.35">
      <c r="B59" s="3" t="s">
        <v>102</v>
      </c>
      <c r="C59" s="83"/>
      <c r="D59" s="103">
        <v>154690</v>
      </c>
      <c r="E59" s="103">
        <v>223723.99</v>
      </c>
      <c r="F59" s="103">
        <v>161081.476</v>
      </c>
      <c r="G59" s="103">
        <f>'BASE - Pre CV-19'!O145</f>
        <v>229500</v>
      </c>
      <c r="I59" s="196">
        <f>D59</f>
        <v>154690</v>
      </c>
      <c r="J59" s="197">
        <f t="shared" ref="J59:L59" si="18">E59</f>
        <v>223723.99</v>
      </c>
      <c r="K59" s="197">
        <f t="shared" si="18"/>
        <v>161081.476</v>
      </c>
      <c r="L59" s="198">
        <f t="shared" si="18"/>
        <v>229500</v>
      </c>
      <c r="M59" s="138"/>
      <c r="N59" s="234" t="s">
        <v>356</v>
      </c>
    </row>
    <row r="60" spans="2:14" ht="12.75" customHeight="1" x14ac:dyDescent="0.35">
      <c r="B60" s="98"/>
      <c r="C60" s="100" t="s">
        <v>224</v>
      </c>
      <c r="D60" s="113">
        <v>97645</v>
      </c>
      <c r="E60" s="113">
        <v>223723</v>
      </c>
      <c r="F60" s="113">
        <v>161081</v>
      </c>
      <c r="G60" s="105">
        <f>G59</f>
        <v>229500</v>
      </c>
      <c r="I60" s="216"/>
      <c r="J60" s="217"/>
      <c r="K60" s="217"/>
      <c r="L60" s="218"/>
      <c r="M60" s="138"/>
      <c r="N60" s="234"/>
    </row>
    <row r="61" spans="2:14" ht="12.75" customHeight="1" x14ac:dyDescent="0.35">
      <c r="B61" s="3" t="s">
        <v>110</v>
      </c>
      <c r="C61" s="84"/>
      <c r="D61" s="106">
        <v>121500</v>
      </c>
      <c r="E61" s="107">
        <v>4500</v>
      </c>
      <c r="F61" s="108"/>
      <c r="G61">
        <v>3500</v>
      </c>
      <c r="I61" s="222"/>
      <c r="J61" s="223"/>
      <c r="K61" s="223"/>
      <c r="L61" s="224"/>
      <c r="M61" s="138"/>
      <c r="N61" s="234"/>
    </row>
    <row r="62" spans="2:14" ht="12.75" customHeight="1" x14ac:dyDescent="0.35">
      <c r="C62" s="84"/>
      <c r="D62" s="106"/>
      <c r="E62" s="107"/>
      <c r="F62" s="108"/>
      <c r="I62" s="222"/>
      <c r="J62" s="223"/>
      <c r="K62" s="223"/>
      <c r="L62" s="224"/>
      <c r="M62" s="138"/>
      <c r="N62" s="234"/>
    </row>
    <row r="63" spans="2:14" ht="12.75" customHeight="1" x14ac:dyDescent="0.35">
      <c r="B63" s="3" t="s">
        <v>113</v>
      </c>
      <c r="C63" s="83"/>
      <c r="D63" s="103">
        <v>83000</v>
      </c>
      <c r="E63" s="103">
        <v>0</v>
      </c>
      <c r="F63" s="103">
        <v>87150</v>
      </c>
      <c r="G63" s="103">
        <f>'BASE - Pre CV-19'!O155</f>
        <v>0</v>
      </c>
      <c r="I63" s="196">
        <f>D63</f>
        <v>83000</v>
      </c>
      <c r="J63" s="197">
        <f t="shared" ref="J63:L63" si="19">E63</f>
        <v>0</v>
      </c>
      <c r="K63" s="197">
        <f t="shared" si="19"/>
        <v>87150</v>
      </c>
      <c r="L63" s="198">
        <f t="shared" si="19"/>
        <v>0</v>
      </c>
      <c r="M63" s="138"/>
      <c r="N63" s="234" t="s">
        <v>357</v>
      </c>
    </row>
    <row r="64" spans="2:14" ht="12.75" customHeight="1" x14ac:dyDescent="0.35">
      <c r="C64" s="100" t="s">
        <v>224</v>
      </c>
      <c r="D64" s="105">
        <v>80453</v>
      </c>
      <c r="E64" s="105"/>
      <c r="F64" s="105">
        <v>87150</v>
      </c>
      <c r="G64" s="105">
        <f>G63</f>
        <v>0</v>
      </c>
      <c r="I64" s="216"/>
      <c r="J64" s="217"/>
      <c r="K64" s="217"/>
      <c r="L64" s="218"/>
      <c r="M64" s="138"/>
      <c r="N64" s="234"/>
    </row>
    <row r="65" spans="2:14" ht="12.75" customHeight="1" x14ac:dyDescent="0.35">
      <c r="B65" s="3" t="s">
        <v>115</v>
      </c>
      <c r="C65" s="83"/>
      <c r="D65" s="103">
        <v>0</v>
      </c>
      <c r="E65" s="103">
        <v>86111.3</v>
      </c>
      <c r="F65" s="103">
        <v>0</v>
      </c>
      <c r="G65" s="103">
        <f>'BASE - Pre CV-19'!O161</f>
        <v>86442.010000000009</v>
      </c>
      <c r="I65" s="196">
        <f>D65</f>
        <v>0</v>
      </c>
      <c r="J65" s="197">
        <f t="shared" ref="J65:L65" si="20">E65</f>
        <v>86111.3</v>
      </c>
      <c r="K65" s="197">
        <f t="shared" si="20"/>
        <v>0</v>
      </c>
      <c r="L65" s="198">
        <f t="shared" si="20"/>
        <v>86442.010000000009</v>
      </c>
      <c r="M65" s="138"/>
      <c r="N65" s="234"/>
    </row>
    <row r="66" spans="2:14" ht="12.75" customHeight="1" x14ac:dyDescent="0.35">
      <c r="C66" s="100" t="s">
        <v>224</v>
      </c>
      <c r="D66" s="105"/>
      <c r="E66" s="105">
        <v>86111</v>
      </c>
      <c r="F66" s="105"/>
      <c r="G66" s="105">
        <f>G65</f>
        <v>86442.010000000009</v>
      </c>
      <c r="I66" s="216"/>
      <c r="J66" s="217"/>
      <c r="K66" s="217"/>
      <c r="L66" s="218"/>
      <c r="M66" s="138"/>
      <c r="N66" s="234"/>
    </row>
    <row r="67" spans="2:14" ht="12.75" customHeight="1" x14ac:dyDescent="0.35">
      <c r="B67" s="3" t="s">
        <v>120</v>
      </c>
      <c r="C67" s="83"/>
      <c r="D67" s="103">
        <v>0</v>
      </c>
      <c r="E67" s="103">
        <v>140700</v>
      </c>
      <c r="F67" s="103">
        <v>0</v>
      </c>
      <c r="G67" s="103">
        <f>'BASE - Pre CV-19'!O165</f>
        <v>147735</v>
      </c>
      <c r="I67" s="196">
        <f>D67</f>
        <v>0</v>
      </c>
      <c r="J67" s="197">
        <f t="shared" ref="J67:L67" si="21">E67</f>
        <v>140700</v>
      </c>
      <c r="K67" s="197">
        <f t="shared" si="21"/>
        <v>0</v>
      </c>
      <c r="L67" s="198">
        <f t="shared" si="21"/>
        <v>147735</v>
      </c>
      <c r="M67" s="138"/>
      <c r="N67" s="234" t="s">
        <v>358</v>
      </c>
    </row>
    <row r="68" spans="2:14" ht="12.75" customHeight="1" x14ac:dyDescent="0.35">
      <c r="C68" s="100" t="s">
        <v>224</v>
      </c>
      <c r="D68" s="105"/>
      <c r="E68" s="105">
        <v>140700</v>
      </c>
      <c r="F68" s="105"/>
      <c r="G68" s="105">
        <f>G67</f>
        <v>147735</v>
      </c>
      <c r="I68" s="216"/>
      <c r="J68" s="217"/>
      <c r="K68" s="217"/>
      <c r="L68" s="218"/>
      <c r="M68" s="138"/>
      <c r="N68" s="234"/>
    </row>
    <row r="69" spans="2:14" ht="12.75" customHeight="1" x14ac:dyDescent="0.35">
      <c r="B69" s="3" t="s">
        <v>122</v>
      </c>
      <c r="C69" s="83"/>
      <c r="D69" s="103">
        <v>10000</v>
      </c>
      <c r="E69" s="103">
        <v>10000</v>
      </c>
      <c r="F69" s="103">
        <v>10000</v>
      </c>
      <c r="G69" s="103">
        <f>'BASE - Pre CV-19'!O169</f>
        <v>16000</v>
      </c>
      <c r="I69" s="196">
        <f>D69</f>
        <v>10000</v>
      </c>
      <c r="J69" s="197">
        <f t="shared" ref="J69:L69" si="22">E69</f>
        <v>10000</v>
      </c>
      <c r="K69" s="197">
        <f t="shared" si="22"/>
        <v>10000</v>
      </c>
      <c r="L69" s="198">
        <f t="shared" si="22"/>
        <v>16000</v>
      </c>
      <c r="M69" s="138"/>
      <c r="N69" s="234" t="s">
        <v>359</v>
      </c>
    </row>
    <row r="70" spans="2:14" ht="12.75" customHeight="1" x14ac:dyDescent="0.35">
      <c r="B70" s="98"/>
      <c r="C70" s="100" t="s">
        <v>224</v>
      </c>
      <c r="D70" s="113">
        <v>769</v>
      </c>
      <c r="E70" s="113">
        <v>10000</v>
      </c>
      <c r="F70" s="113">
        <v>10000</v>
      </c>
      <c r="G70" s="105">
        <f>G69</f>
        <v>16000</v>
      </c>
      <c r="I70" s="216"/>
      <c r="J70" s="217"/>
      <c r="K70" s="217"/>
      <c r="L70" s="218"/>
      <c r="M70" s="138"/>
      <c r="N70" s="234"/>
    </row>
    <row r="71" spans="2:14" ht="24" customHeight="1" thickBot="1" x14ac:dyDescent="0.4">
      <c r="B71" s="6" t="s">
        <v>125</v>
      </c>
      <c r="C71" s="85"/>
      <c r="D71" s="103">
        <f>D69+D67+D65+D63+D61</f>
        <v>214500</v>
      </c>
      <c r="E71" s="103">
        <f>E69+E67+E65+E63+E61</f>
        <v>241311.3</v>
      </c>
      <c r="F71" s="103">
        <f>F69+F67+F65+F63</f>
        <v>97150</v>
      </c>
      <c r="G71" s="103">
        <f>G69+G67+G65+G61</f>
        <v>253677.01</v>
      </c>
      <c r="I71" s="196">
        <f>D71</f>
        <v>214500</v>
      </c>
      <c r="J71" s="197">
        <f t="shared" ref="J71:L71" si="23">E71</f>
        <v>241311.3</v>
      </c>
      <c r="K71" s="197">
        <f t="shared" si="23"/>
        <v>97150</v>
      </c>
      <c r="L71" s="198">
        <f t="shared" si="23"/>
        <v>253677.01</v>
      </c>
      <c r="M71" s="138"/>
      <c r="N71" s="237"/>
    </row>
    <row r="72" spans="2:14" ht="12.75" customHeight="1" thickTop="1" x14ac:dyDescent="0.35">
      <c r="B72" s="98"/>
      <c r="C72" s="100" t="s">
        <v>224</v>
      </c>
      <c r="D72" s="105">
        <f>D70+D68+D66+D64+56.22</f>
        <v>81278.22</v>
      </c>
      <c r="E72" s="105">
        <f>E70+E68+E66+E64+4500</f>
        <v>241311</v>
      </c>
      <c r="F72" s="105">
        <f>F70+F68+F66+F64</f>
        <v>97150</v>
      </c>
      <c r="G72" s="105">
        <f>G70+G68+G66+G62</f>
        <v>250177.01</v>
      </c>
      <c r="I72" s="216"/>
      <c r="J72" s="217"/>
      <c r="K72" s="217"/>
      <c r="L72" s="218"/>
      <c r="M72" s="138"/>
      <c r="N72" s="234"/>
    </row>
    <row r="73" spans="2:14" ht="12.75" customHeight="1" thickBot="1" x14ac:dyDescent="0.4">
      <c r="B73" s="6" t="s">
        <v>126</v>
      </c>
      <c r="C73" s="85"/>
      <c r="D73" s="103">
        <f>D71+D59+D57+D55+D53+D51</f>
        <v>859765.56579999998</v>
      </c>
      <c r="E73" s="103">
        <f>E71+E59+E57+E55+E53+E51</f>
        <v>970039.16448400007</v>
      </c>
      <c r="F73" s="103">
        <f>F71+F59+F57+F55+F53+F51</f>
        <v>777015.14159432007</v>
      </c>
      <c r="G73" s="103">
        <f>G71+G59+G57+G55+G53+G51</f>
        <v>1016616.2959244336</v>
      </c>
      <c r="H73">
        <f>G71+G59+G57+G55+G53+G51</f>
        <v>1016616.2959244336</v>
      </c>
      <c r="I73" s="196">
        <f>D73</f>
        <v>859765.56579999998</v>
      </c>
      <c r="J73" s="197">
        <f t="shared" ref="J73:L73" si="24">E73</f>
        <v>970039.16448400007</v>
      </c>
      <c r="K73" s="197">
        <f t="shared" si="24"/>
        <v>777015.14159432007</v>
      </c>
      <c r="L73" s="198">
        <f t="shared" si="24"/>
        <v>1016616.2959244336</v>
      </c>
      <c r="M73" s="138"/>
      <c r="N73" s="234"/>
    </row>
    <row r="74" spans="2:14" ht="12.75" customHeight="1" thickTop="1" x14ac:dyDescent="0.35">
      <c r="B74" s="98"/>
      <c r="C74" s="100" t="s">
        <v>224</v>
      </c>
      <c r="D74" s="113">
        <f>D72+D60+D56+D54+D52+D50+D58</f>
        <v>723843.22</v>
      </c>
      <c r="E74" s="113">
        <f>E72+E60+E56+E54+E52+E50+E58</f>
        <v>974013</v>
      </c>
      <c r="F74" s="113">
        <f>F72+F60+F58+F56+F54+F52</f>
        <v>777015</v>
      </c>
      <c r="G74" s="113">
        <f>G72+G60+G58+G56+G54+G52+G61</f>
        <v>1016616.2959244336</v>
      </c>
      <c r="I74" s="216"/>
      <c r="J74" s="217"/>
      <c r="K74" s="217"/>
      <c r="L74" s="218"/>
      <c r="M74" s="138"/>
      <c r="N74" s="234"/>
    </row>
    <row r="75" spans="2:14" ht="27" customHeight="1" thickBot="1" x14ac:dyDescent="0.4">
      <c r="B75" s="6" t="s">
        <v>168</v>
      </c>
      <c r="C75" s="85" t="s">
        <v>227</v>
      </c>
      <c r="D75" s="103">
        <f>D45-D73</f>
        <v>20146.91165454546</v>
      </c>
      <c r="E75" s="103">
        <f>E45-E73</f>
        <v>28002.241343272734</v>
      </c>
      <c r="F75" s="103">
        <f>F45-F73</f>
        <v>24696.242024316452</v>
      </c>
      <c r="G75" s="103">
        <f>G45-G73</f>
        <v>17632.107268206193</v>
      </c>
      <c r="I75" s="199">
        <f>D75</f>
        <v>20146.91165454546</v>
      </c>
      <c r="J75" s="200">
        <f t="shared" ref="J75:L75" si="25">E75</f>
        <v>28002.241343272734</v>
      </c>
      <c r="K75" s="200">
        <f t="shared" si="25"/>
        <v>24696.242024316452</v>
      </c>
      <c r="L75" s="201">
        <f t="shared" si="25"/>
        <v>17632.107268206193</v>
      </c>
      <c r="M75" s="138"/>
      <c r="N75" s="239" t="s">
        <v>360</v>
      </c>
    </row>
    <row r="76" spans="2:14" ht="12.75" customHeight="1" thickTop="1" x14ac:dyDescent="0.35">
      <c r="B76" s="98"/>
      <c r="C76" s="100" t="s">
        <v>224</v>
      </c>
      <c r="D76" s="113">
        <f>D46-D74</f>
        <v>68454.780000000028</v>
      </c>
      <c r="E76" s="113">
        <f>E46-E74</f>
        <v>16105</v>
      </c>
      <c r="F76" s="113">
        <f>F46-F74</f>
        <v>16908.600000000093</v>
      </c>
      <c r="G76" s="113">
        <f>G46-G74</f>
        <v>17632.107268206193</v>
      </c>
      <c r="I76" s="138"/>
      <c r="J76" s="138"/>
      <c r="K76" s="138"/>
      <c r="L76" s="138"/>
      <c r="M76" s="138"/>
    </row>
    <row r="77" spans="2:14" ht="12.75" customHeight="1" x14ac:dyDescent="0.35">
      <c r="I77" s="138"/>
      <c r="J77" s="138"/>
      <c r="K77" s="138"/>
      <c r="L77" s="138"/>
      <c r="M77" s="138"/>
    </row>
    <row r="78" spans="2:14" ht="16.5" customHeight="1" x14ac:dyDescent="0.35"/>
    <row r="79" spans="2:14" ht="12.75" customHeight="1" x14ac:dyDescent="0.35">
      <c r="C79" s="78"/>
      <c r="D79" s="47">
        <v>43983</v>
      </c>
      <c r="E79" s="46">
        <v>44348</v>
      </c>
      <c r="F79" s="46">
        <v>44713</v>
      </c>
      <c r="G79" s="46">
        <v>45078</v>
      </c>
    </row>
    <row r="80" spans="2:14" ht="12.75" customHeight="1" x14ac:dyDescent="0.35">
      <c r="B80" s="31"/>
      <c r="C80" s="79"/>
      <c r="D80" s="9" t="s">
        <v>132</v>
      </c>
      <c r="E80" s="44" t="s">
        <v>132</v>
      </c>
      <c r="F80" s="9" t="s">
        <v>132</v>
      </c>
      <c r="G80" s="9" t="s">
        <v>132</v>
      </c>
    </row>
    <row r="81" spans="2:5" ht="12.75" customHeight="1" x14ac:dyDescent="0.35">
      <c r="B81" s="31"/>
      <c r="D81" s="31"/>
      <c r="E81" s="31"/>
    </row>
    <row r="82" spans="2:5" ht="12.75" customHeight="1" x14ac:dyDescent="0.35">
      <c r="B82" s="31"/>
      <c r="D82" s="31"/>
      <c r="E82" s="31"/>
    </row>
    <row r="83" spans="2:5" ht="12.75" customHeight="1" x14ac:dyDescent="0.35">
      <c r="B83" s="26"/>
      <c r="D83" s="31"/>
      <c r="E83" s="31"/>
    </row>
    <row r="84" spans="2:5" ht="27.75" customHeight="1" x14ac:dyDescent="0.35">
      <c r="B84" s="26"/>
      <c r="D84" s="31"/>
      <c r="E84" s="31"/>
    </row>
    <row r="85" spans="2:5" ht="12.75" customHeight="1" x14ac:dyDescent="0.35">
      <c r="B85" s="54"/>
      <c r="D85" s="31"/>
      <c r="E85" s="31"/>
    </row>
    <row r="86" spans="2:5" ht="12.75" customHeight="1" x14ac:dyDescent="0.35">
      <c r="B86" s="54"/>
      <c r="D86" s="31"/>
      <c r="E86" s="31"/>
    </row>
    <row r="87" spans="2:5" ht="12.75" customHeight="1" x14ac:dyDescent="0.35">
      <c r="B87" s="55"/>
      <c r="D87" s="31"/>
      <c r="E87" s="31"/>
    </row>
    <row r="88" spans="2:5" ht="12.75" customHeight="1" x14ac:dyDescent="0.35">
      <c r="B88" s="54"/>
      <c r="D88" s="31"/>
      <c r="E88" s="31"/>
    </row>
    <row r="89" spans="2:5" ht="12.75" customHeight="1" x14ac:dyDescent="0.35">
      <c r="B89" s="54"/>
      <c r="D89" s="31"/>
      <c r="E89" s="31"/>
    </row>
    <row r="90" spans="2:5" ht="12.75" customHeight="1" x14ac:dyDescent="0.35">
      <c r="B90" s="55"/>
      <c r="D90" s="31"/>
      <c r="E90" s="31"/>
    </row>
    <row r="91" spans="2:5" ht="12.75" customHeight="1" x14ac:dyDescent="0.35">
      <c r="B91" s="55"/>
      <c r="D91" s="31"/>
      <c r="E91" s="31"/>
    </row>
    <row r="92" spans="2:5" ht="12.75" customHeight="1" x14ac:dyDescent="0.35">
      <c r="B92" s="54"/>
      <c r="D92" s="31"/>
      <c r="E92" s="31"/>
    </row>
    <row r="93" spans="2:5" ht="12.75" customHeight="1" x14ac:dyDescent="0.35">
      <c r="B93" s="54"/>
      <c r="D93" s="31"/>
      <c r="E93" s="31"/>
    </row>
    <row r="94" spans="2:5" ht="12.75" customHeight="1" x14ac:dyDescent="0.35">
      <c r="B94" s="54"/>
      <c r="D94" s="31"/>
      <c r="E94" s="31"/>
    </row>
    <row r="95" spans="2:5" ht="12.75" customHeight="1" x14ac:dyDescent="0.35">
      <c r="B95" s="54"/>
      <c r="D95" s="31"/>
      <c r="E95" s="31"/>
    </row>
    <row r="96" spans="2:5" ht="12.75" customHeight="1" x14ac:dyDescent="0.35">
      <c r="B96" s="54"/>
      <c r="D96" s="31"/>
      <c r="E96" s="31"/>
    </row>
    <row r="97" spans="2:5" ht="12.75" customHeight="1" x14ac:dyDescent="0.35">
      <c r="B97" s="54"/>
      <c r="D97" s="31"/>
      <c r="E97" s="31"/>
    </row>
    <row r="98" spans="2:5" ht="12.75" customHeight="1" x14ac:dyDescent="0.35">
      <c r="B98" s="55"/>
      <c r="D98" s="31"/>
      <c r="E98" s="31"/>
    </row>
    <row r="99" spans="2:5" ht="12.75" customHeight="1" x14ac:dyDescent="0.35">
      <c r="B99" s="54"/>
      <c r="D99" s="31"/>
      <c r="E99" s="31"/>
    </row>
    <row r="100" spans="2:5" ht="12.75" customHeight="1" x14ac:dyDescent="0.35">
      <c r="B100" s="55"/>
      <c r="D100" s="31"/>
      <c r="E100" s="31"/>
    </row>
    <row r="101" spans="2:5" ht="12.75" customHeight="1" x14ac:dyDescent="0.35">
      <c r="B101" s="55"/>
      <c r="D101" s="31"/>
      <c r="E101" s="31"/>
    </row>
    <row r="102" spans="2:5" ht="12.75" customHeight="1" x14ac:dyDescent="0.35">
      <c r="B102" s="54"/>
      <c r="D102" s="31"/>
      <c r="E102" s="31"/>
    </row>
    <row r="103" spans="2:5" ht="12.75" customHeight="1" x14ac:dyDescent="0.35">
      <c r="B103" s="55"/>
      <c r="D103" s="31"/>
      <c r="E103" s="31"/>
    </row>
    <row r="104" spans="2:5" ht="12.75" customHeight="1" x14ac:dyDescent="0.35">
      <c r="B104" s="54"/>
      <c r="D104" s="31"/>
      <c r="E104" s="31"/>
    </row>
    <row r="105" spans="2:5" ht="12.75" customHeight="1" x14ac:dyDescent="0.35">
      <c r="B105" s="54"/>
      <c r="D105" s="31"/>
      <c r="E105" s="31"/>
    </row>
    <row r="106" spans="2:5" ht="12.75" customHeight="1" x14ac:dyDescent="0.35">
      <c r="B106" s="54"/>
      <c r="D106" s="31"/>
      <c r="E106" s="31"/>
    </row>
    <row r="107" spans="2:5" ht="12.75" customHeight="1" x14ac:dyDescent="0.35">
      <c r="B107" s="54"/>
      <c r="D107" s="31"/>
      <c r="E107" s="31"/>
    </row>
    <row r="108" spans="2:5" ht="12.75" customHeight="1" x14ac:dyDescent="0.35">
      <c r="B108" s="54"/>
      <c r="D108" s="31"/>
      <c r="E108" s="31"/>
    </row>
    <row r="109" spans="2:5" ht="12.75" customHeight="1" x14ac:dyDescent="0.35">
      <c r="B109" s="54"/>
      <c r="D109" s="31"/>
      <c r="E109" s="31"/>
    </row>
    <row r="110" spans="2:5" ht="12.75" customHeight="1" x14ac:dyDescent="0.35">
      <c r="B110" s="54"/>
      <c r="D110" s="31"/>
      <c r="E110" s="31"/>
    </row>
    <row r="111" spans="2:5" ht="12.75" customHeight="1" x14ac:dyDescent="0.35">
      <c r="B111" s="54"/>
      <c r="D111" s="31"/>
      <c r="E111" s="31"/>
    </row>
    <row r="112" spans="2:5" ht="12.75" customHeight="1" x14ac:dyDescent="0.35">
      <c r="B112" s="54"/>
      <c r="D112" s="31"/>
      <c r="E112" s="31"/>
    </row>
    <row r="113" spans="2:5" ht="12.75" customHeight="1" x14ac:dyDescent="0.35">
      <c r="B113" s="54"/>
      <c r="D113" s="31"/>
      <c r="E113" s="31"/>
    </row>
    <row r="114" spans="2:5" ht="12.75" customHeight="1" x14ac:dyDescent="0.35">
      <c r="B114" s="54"/>
      <c r="D114" s="31"/>
      <c r="E114" s="31"/>
    </row>
    <row r="115" spans="2:5" ht="12.75" customHeight="1" x14ac:dyDescent="0.35">
      <c r="B115" s="54"/>
      <c r="D115" s="31"/>
      <c r="E115" s="31"/>
    </row>
    <row r="116" spans="2:5" ht="12.75" customHeight="1" x14ac:dyDescent="0.35">
      <c r="B116" s="54"/>
      <c r="D116" s="31"/>
      <c r="E116" s="31"/>
    </row>
    <row r="117" spans="2:5" ht="12.75" customHeight="1" x14ac:dyDescent="0.35">
      <c r="B117" s="31"/>
      <c r="D117" s="31"/>
      <c r="E117" s="31"/>
    </row>
    <row r="118" spans="2:5" ht="12.75" customHeight="1" x14ac:dyDescent="0.35">
      <c r="B118" s="31"/>
      <c r="D118" s="31"/>
      <c r="E118" s="31"/>
    </row>
    <row r="119" spans="2:5" ht="12.75" customHeight="1" x14ac:dyDescent="0.35">
      <c r="B119" s="31"/>
      <c r="D119" s="31"/>
      <c r="E119" s="31"/>
    </row>
    <row r="120" spans="2:5" ht="12.75" customHeight="1" x14ac:dyDescent="0.35">
      <c r="B120" s="31"/>
      <c r="D120" s="31"/>
      <c r="E120" s="31"/>
    </row>
    <row r="121" spans="2:5" ht="12.75" customHeight="1" x14ac:dyDescent="0.35">
      <c r="B121" s="31"/>
      <c r="D121" s="31"/>
      <c r="E121" s="31"/>
    </row>
    <row r="122" spans="2:5" ht="12.75" customHeight="1" x14ac:dyDescent="0.35">
      <c r="B122" s="31"/>
      <c r="D122" s="31"/>
      <c r="E122" s="31"/>
    </row>
    <row r="123" spans="2:5" ht="12.75" customHeight="1" x14ac:dyDescent="0.35">
      <c r="B123" s="31"/>
      <c r="D123" s="31"/>
      <c r="E123" s="31"/>
    </row>
    <row r="124" spans="2:5" ht="12.75" customHeight="1" x14ac:dyDescent="0.35">
      <c r="B124" s="31"/>
      <c r="D124" s="31"/>
      <c r="E124" s="31"/>
    </row>
    <row r="125" spans="2:5" ht="12.75" customHeight="1" x14ac:dyDescent="0.35">
      <c r="B125" s="31"/>
      <c r="D125" s="31"/>
      <c r="E125" s="31"/>
    </row>
    <row r="126" spans="2:5" ht="12.75" customHeight="1" x14ac:dyDescent="0.35">
      <c r="B126" s="31"/>
      <c r="D126" s="31"/>
      <c r="E126" s="31"/>
    </row>
    <row r="127" spans="2:5" ht="12.75" customHeight="1" x14ac:dyDescent="0.35">
      <c r="B127" s="31"/>
      <c r="D127" s="31"/>
      <c r="E127" s="31"/>
    </row>
    <row r="128" spans="2:5" ht="12.75" customHeight="1" x14ac:dyDescent="0.35">
      <c r="B128" s="31"/>
      <c r="D128" s="31"/>
      <c r="E128" s="31"/>
    </row>
    <row r="129" spans="2:5" ht="12.75" customHeight="1" x14ac:dyDescent="0.35">
      <c r="B129" s="31"/>
      <c r="D129" s="31"/>
      <c r="E129" s="31"/>
    </row>
    <row r="130" spans="2:5" ht="12.75" customHeight="1" x14ac:dyDescent="0.35">
      <c r="B130" s="31"/>
      <c r="D130" s="31"/>
      <c r="E130" s="31"/>
    </row>
    <row r="131" spans="2:5" ht="12.75" customHeight="1" x14ac:dyDescent="0.35">
      <c r="B131" s="31"/>
      <c r="D131" s="31"/>
      <c r="E131" s="31"/>
    </row>
    <row r="132" spans="2:5" ht="12.75" customHeight="1" x14ac:dyDescent="0.35">
      <c r="B132" s="31"/>
      <c r="D132" s="31"/>
      <c r="E132" s="31"/>
    </row>
    <row r="133" spans="2:5" ht="12.75" customHeight="1" x14ac:dyDescent="0.35">
      <c r="B133" s="31"/>
      <c r="D133" s="31"/>
      <c r="E133" s="31"/>
    </row>
    <row r="134" spans="2:5" ht="12.75" customHeight="1" x14ac:dyDescent="0.35">
      <c r="B134" s="31"/>
      <c r="D134" s="31"/>
      <c r="E134" s="31"/>
    </row>
    <row r="135" spans="2:5" ht="12.75" customHeight="1" x14ac:dyDescent="0.35">
      <c r="B135" s="31"/>
      <c r="D135" s="31"/>
      <c r="E135" s="31"/>
    </row>
    <row r="136" spans="2:5" ht="12.75" customHeight="1" x14ac:dyDescent="0.35">
      <c r="B136" s="31"/>
      <c r="D136" s="31"/>
      <c r="E136" s="31"/>
    </row>
    <row r="137" spans="2:5" ht="12.75" customHeight="1" x14ac:dyDescent="0.35">
      <c r="B137" s="31"/>
      <c r="D137" s="31"/>
      <c r="E137" s="31"/>
    </row>
    <row r="138" spans="2:5" ht="12.75" customHeight="1" x14ac:dyDescent="0.35">
      <c r="B138" s="31"/>
      <c r="D138" s="31"/>
      <c r="E138" s="31"/>
    </row>
    <row r="139" spans="2:5" ht="12.75" customHeight="1" x14ac:dyDescent="0.35">
      <c r="B139" s="31"/>
      <c r="D139" s="31"/>
      <c r="E139" s="31"/>
    </row>
    <row r="140" spans="2:5" ht="12.75" customHeight="1" x14ac:dyDescent="0.35">
      <c r="B140" s="31"/>
      <c r="D140" s="31"/>
      <c r="E140" s="31"/>
    </row>
    <row r="141" spans="2:5" ht="12.75" customHeight="1" x14ac:dyDescent="0.35">
      <c r="B141" s="31"/>
      <c r="D141" s="31"/>
      <c r="E141" s="31"/>
    </row>
    <row r="142" spans="2:5" ht="12.75" customHeight="1" x14ac:dyDescent="0.35">
      <c r="B142" s="31"/>
      <c r="D142" s="31"/>
      <c r="E142" s="31"/>
    </row>
    <row r="143" spans="2:5" ht="12.75" customHeight="1" x14ac:dyDescent="0.35">
      <c r="B143" s="31"/>
      <c r="D143" s="31"/>
      <c r="E143" s="31"/>
    </row>
    <row r="144" spans="2:5" ht="12.75" customHeight="1" x14ac:dyDescent="0.35">
      <c r="B144" s="31"/>
      <c r="D144" s="31"/>
      <c r="E144" s="31"/>
    </row>
    <row r="145" spans="2:5" ht="12.75" customHeight="1" x14ac:dyDescent="0.35">
      <c r="B145" s="31"/>
      <c r="D145" s="31"/>
      <c r="E145" s="31"/>
    </row>
    <row r="146" spans="2:5" ht="12.75" customHeight="1" x14ac:dyDescent="0.35">
      <c r="B146" s="31"/>
      <c r="D146" s="31"/>
      <c r="E146" s="31"/>
    </row>
    <row r="147" spans="2:5" ht="12.75" customHeight="1" x14ac:dyDescent="0.35">
      <c r="B147" s="31"/>
      <c r="D147" s="31"/>
      <c r="E147" s="31"/>
    </row>
    <row r="148" spans="2:5" ht="12.75" customHeight="1" x14ac:dyDescent="0.35">
      <c r="B148" s="31"/>
      <c r="D148" s="31"/>
      <c r="E148" s="31"/>
    </row>
    <row r="149" spans="2:5" ht="12.75" customHeight="1" x14ac:dyDescent="0.35">
      <c r="B149" s="31"/>
      <c r="D149" s="31"/>
      <c r="E149" s="31"/>
    </row>
    <row r="150" spans="2:5" ht="12.75" customHeight="1" x14ac:dyDescent="0.35">
      <c r="B150" s="31"/>
      <c r="D150" s="31"/>
      <c r="E150" s="31"/>
    </row>
    <row r="151" spans="2:5" ht="12.75" customHeight="1" x14ac:dyDescent="0.35">
      <c r="B151" s="31"/>
      <c r="D151" s="31"/>
      <c r="E151" s="31"/>
    </row>
    <row r="152" spans="2:5" ht="12.75" customHeight="1" x14ac:dyDescent="0.35">
      <c r="B152" s="31"/>
      <c r="D152" s="31"/>
      <c r="E152" s="31"/>
    </row>
    <row r="153" spans="2:5" ht="12.75" customHeight="1" x14ac:dyDescent="0.35">
      <c r="B153" s="31"/>
      <c r="D153" s="31"/>
      <c r="E153" s="31"/>
    </row>
    <row r="154" spans="2:5" ht="12.75" customHeight="1" x14ac:dyDescent="0.35">
      <c r="B154" s="31"/>
      <c r="D154" s="31"/>
      <c r="E154" s="31"/>
    </row>
    <row r="155" spans="2:5" ht="12.75" customHeight="1" x14ac:dyDescent="0.35">
      <c r="B155" s="31"/>
      <c r="D155" s="31"/>
      <c r="E155" s="31"/>
    </row>
    <row r="156" spans="2:5" ht="12.75" customHeight="1" x14ac:dyDescent="0.35">
      <c r="B156" s="31"/>
      <c r="D156" s="31"/>
      <c r="E156" s="31"/>
    </row>
    <row r="157" spans="2:5" ht="12.75" customHeight="1" x14ac:dyDescent="0.35">
      <c r="B157" s="31"/>
      <c r="D157" s="31"/>
      <c r="E157" s="31"/>
    </row>
    <row r="158" spans="2:5" ht="12.75" customHeight="1" x14ac:dyDescent="0.35">
      <c r="B158" s="31"/>
      <c r="D158" s="31"/>
      <c r="E158" s="31"/>
    </row>
    <row r="159" spans="2:5" ht="12.75" customHeight="1" x14ac:dyDescent="0.35">
      <c r="B159" s="31"/>
      <c r="D159" s="31"/>
      <c r="E159" s="31"/>
    </row>
    <row r="160" spans="2:5" ht="12.75" customHeight="1" x14ac:dyDescent="0.35">
      <c r="B160" s="31"/>
      <c r="D160" s="31"/>
      <c r="E160" s="31"/>
    </row>
    <row r="161" spans="2:5" ht="12.75" customHeight="1" x14ac:dyDescent="0.35">
      <c r="B161" s="31"/>
      <c r="D161" s="31"/>
      <c r="E161" s="31"/>
    </row>
    <row r="162" spans="2:5" ht="12.75" customHeight="1" x14ac:dyDescent="0.35">
      <c r="B162" s="31"/>
      <c r="D162" s="31"/>
      <c r="E162" s="31"/>
    </row>
    <row r="163" spans="2:5" ht="12.75" customHeight="1" x14ac:dyDescent="0.35">
      <c r="B163" s="31"/>
      <c r="D163" s="31"/>
      <c r="E163" s="31"/>
    </row>
    <row r="164" spans="2:5" ht="12.75" customHeight="1" x14ac:dyDescent="0.35">
      <c r="B164" s="31"/>
      <c r="D164" s="31"/>
      <c r="E164" s="31"/>
    </row>
    <row r="165" spans="2:5" ht="12.75" customHeight="1" x14ac:dyDescent="0.35">
      <c r="B165" s="31"/>
      <c r="D165" s="31"/>
      <c r="E165" s="31"/>
    </row>
    <row r="166" spans="2:5" ht="12.75" customHeight="1" x14ac:dyDescent="0.35">
      <c r="B166" s="31"/>
      <c r="D166" s="31"/>
      <c r="E166" s="31"/>
    </row>
    <row r="167" spans="2:5" ht="12.75" customHeight="1" x14ac:dyDescent="0.35">
      <c r="B167" s="31"/>
      <c r="D167" s="31"/>
      <c r="E167" s="31"/>
    </row>
    <row r="168" spans="2:5" ht="12.75" customHeight="1" x14ac:dyDescent="0.35">
      <c r="B168" s="31"/>
      <c r="D168" s="31"/>
      <c r="E168" s="31"/>
    </row>
    <row r="169" spans="2:5" ht="12.75" customHeight="1" x14ac:dyDescent="0.35">
      <c r="B169" s="31"/>
      <c r="D169" s="31"/>
      <c r="E169" s="31"/>
    </row>
    <row r="170" spans="2:5" ht="12.75" customHeight="1" x14ac:dyDescent="0.35">
      <c r="B170" s="31"/>
      <c r="D170" s="31"/>
      <c r="E170" s="31"/>
    </row>
    <row r="171" spans="2:5" ht="12.75" customHeight="1" x14ac:dyDescent="0.35">
      <c r="B171" s="31"/>
      <c r="D171" s="31"/>
      <c r="E171" s="31"/>
    </row>
    <row r="172" spans="2:5" ht="12.75" customHeight="1" x14ac:dyDescent="0.35">
      <c r="B172" s="31"/>
      <c r="D172" s="31"/>
      <c r="E172" s="31"/>
    </row>
    <row r="173" spans="2:5" ht="12.75" customHeight="1" x14ac:dyDescent="0.35">
      <c r="B173" s="31"/>
      <c r="D173" s="31"/>
      <c r="E173" s="31"/>
    </row>
    <row r="174" spans="2:5" ht="12.75" customHeight="1" x14ac:dyDescent="0.35">
      <c r="B174" s="31"/>
      <c r="D174" s="31"/>
      <c r="E174" s="31"/>
    </row>
    <row r="175" spans="2:5" ht="12.75" customHeight="1" x14ac:dyDescent="0.35">
      <c r="B175" s="31"/>
      <c r="D175" s="31"/>
      <c r="E175" s="31"/>
    </row>
    <row r="176" spans="2:5" ht="12.75" customHeight="1" x14ac:dyDescent="0.35">
      <c r="B176" s="31"/>
      <c r="D176" s="31"/>
      <c r="E176" s="31"/>
    </row>
    <row r="177" spans="2:5" ht="12.75" customHeight="1" x14ac:dyDescent="0.35">
      <c r="B177" s="31"/>
      <c r="D177" s="31"/>
      <c r="E177" s="31"/>
    </row>
    <row r="178" spans="2:5" ht="12.75" customHeight="1" x14ac:dyDescent="0.35">
      <c r="B178" s="31"/>
      <c r="D178" s="31"/>
      <c r="E178" s="31"/>
    </row>
    <row r="179" spans="2:5" ht="12.75" customHeight="1" x14ac:dyDescent="0.35">
      <c r="B179" s="31"/>
      <c r="D179" s="31"/>
      <c r="E179" s="31"/>
    </row>
    <row r="180" spans="2:5" ht="12.75" customHeight="1" x14ac:dyDescent="0.35">
      <c r="B180" s="31"/>
      <c r="D180" s="31"/>
      <c r="E180" s="31"/>
    </row>
    <row r="181" spans="2:5" ht="12.75" customHeight="1" x14ac:dyDescent="0.35">
      <c r="B181" s="31"/>
      <c r="D181" s="31"/>
      <c r="E181" s="31"/>
    </row>
    <row r="182" spans="2:5" ht="12.75" customHeight="1" x14ac:dyDescent="0.35">
      <c r="B182" s="31"/>
      <c r="D182" s="31"/>
      <c r="E182" s="31"/>
    </row>
    <row r="183" spans="2:5" ht="12.75" customHeight="1" x14ac:dyDescent="0.35">
      <c r="B183" s="31"/>
      <c r="D183" s="31"/>
      <c r="E183" s="31"/>
    </row>
    <row r="184" spans="2:5" ht="12.75" customHeight="1" x14ac:dyDescent="0.35">
      <c r="B184" s="31"/>
      <c r="D184" s="31"/>
      <c r="E184" s="31"/>
    </row>
    <row r="185" spans="2:5" ht="12.75" customHeight="1" x14ac:dyDescent="0.35">
      <c r="B185" s="31"/>
      <c r="D185" s="31"/>
      <c r="E185" s="31"/>
    </row>
    <row r="186" spans="2:5" ht="12.75" customHeight="1" x14ac:dyDescent="0.35">
      <c r="B186" s="31"/>
      <c r="D186" s="31"/>
      <c r="E186" s="31"/>
    </row>
    <row r="187" spans="2:5" ht="12.75" customHeight="1" x14ac:dyDescent="0.35">
      <c r="B187" s="31"/>
      <c r="D187" s="31"/>
      <c r="E187" s="31"/>
    </row>
    <row r="188" spans="2:5" ht="12.75" customHeight="1" x14ac:dyDescent="0.35">
      <c r="B188" s="31"/>
      <c r="D188" s="31"/>
      <c r="E188" s="31"/>
    </row>
    <row r="189" spans="2:5" ht="12.75" customHeight="1" x14ac:dyDescent="0.35">
      <c r="B189" s="31"/>
      <c r="D189" s="31"/>
      <c r="E189" s="31"/>
    </row>
    <row r="190" spans="2:5" ht="12.75" customHeight="1" x14ac:dyDescent="0.35">
      <c r="B190" s="31"/>
      <c r="D190" s="31"/>
      <c r="E190" s="31"/>
    </row>
    <row r="191" spans="2:5" ht="12.75" customHeight="1" x14ac:dyDescent="0.35">
      <c r="B191" s="31"/>
      <c r="D191" s="31"/>
      <c r="E191" s="31"/>
    </row>
    <row r="192" spans="2:5" ht="12.75" customHeight="1" x14ac:dyDescent="0.35">
      <c r="B192" s="31"/>
      <c r="D192" s="31"/>
      <c r="E192" s="31"/>
    </row>
    <row r="193" spans="2:5" ht="12.75" customHeight="1" x14ac:dyDescent="0.35">
      <c r="B193" s="31"/>
      <c r="D193" s="31"/>
      <c r="E193" s="31"/>
    </row>
    <row r="194" spans="2:5" ht="12.75" customHeight="1" x14ac:dyDescent="0.35">
      <c r="B194" s="31"/>
      <c r="D194" s="31"/>
      <c r="E194" s="31"/>
    </row>
    <row r="195" spans="2:5" ht="12.75" customHeight="1" x14ac:dyDescent="0.35">
      <c r="B195" s="31"/>
      <c r="D195" s="31"/>
      <c r="E195" s="31"/>
    </row>
    <row r="196" spans="2:5" ht="12.75" customHeight="1" x14ac:dyDescent="0.35">
      <c r="B196" s="31"/>
      <c r="D196" s="31"/>
      <c r="E196" s="31"/>
    </row>
    <row r="197" spans="2:5" ht="12.75" customHeight="1" x14ac:dyDescent="0.35">
      <c r="B197" s="31"/>
      <c r="D197" s="31"/>
      <c r="E197" s="31"/>
    </row>
    <row r="198" spans="2:5" ht="12.75" customHeight="1" x14ac:dyDescent="0.35">
      <c r="B198" s="31"/>
      <c r="D198" s="31"/>
      <c r="E198" s="31"/>
    </row>
    <row r="199" spans="2:5" ht="12.75" customHeight="1" x14ac:dyDescent="0.35">
      <c r="B199" s="31"/>
      <c r="D199" s="31"/>
      <c r="E199" s="31"/>
    </row>
    <row r="200" spans="2:5" ht="12.75" customHeight="1" x14ac:dyDescent="0.35">
      <c r="B200" s="31"/>
      <c r="D200" s="31"/>
      <c r="E200" s="31"/>
    </row>
    <row r="201" spans="2:5" ht="12.75" customHeight="1" x14ac:dyDescent="0.35">
      <c r="B201" s="31"/>
      <c r="D201" s="31"/>
      <c r="E201" s="31"/>
    </row>
    <row r="202" spans="2:5" ht="12.75" customHeight="1" x14ac:dyDescent="0.35">
      <c r="B202" s="31"/>
      <c r="D202" s="31"/>
      <c r="E202" s="31"/>
    </row>
    <row r="203" spans="2:5" ht="12.75" customHeight="1" x14ac:dyDescent="0.35">
      <c r="B203" s="31"/>
      <c r="D203" s="31"/>
      <c r="E203" s="31"/>
    </row>
    <row r="204" spans="2:5" ht="12.75" customHeight="1" x14ac:dyDescent="0.35">
      <c r="B204" s="31"/>
      <c r="D204" s="31"/>
      <c r="E204" s="31"/>
    </row>
    <row r="205" spans="2:5" ht="12.75" customHeight="1" x14ac:dyDescent="0.35">
      <c r="B205" s="31"/>
      <c r="D205" s="31"/>
      <c r="E205" s="31"/>
    </row>
    <row r="206" spans="2:5" ht="12.75" customHeight="1" x14ac:dyDescent="0.35">
      <c r="B206" s="31"/>
      <c r="D206" s="31"/>
      <c r="E206" s="31"/>
    </row>
    <row r="207" spans="2:5" ht="12.75" customHeight="1" x14ac:dyDescent="0.35">
      <c r="B207" s="31"/>
      <c r="D207" s="31"/>
      <c r="E207" s="31"/>
    </row>
    <row r="208" spans="2:5" ht="12.75" customHeight="1" x14ac:dyDescent="0.35">
      <c r="B208" s="31"/>
      <c r="D208" s="31"/>
      <c r="E208" s="31"/>
    </row>
    <row r="209" spans="2:5" ht="12.75" customHeight="1" x14ac:dyDescent="0.35">
      <c r="B209" s="31"/>
      <c r="D209" s="31"/>
      <c r="E209" s="31"/>
    </row>
    <row r="210" spans="2:5" ht="12.75" customHeight="1" x14ac:dyDescent="0.35">
      <c r="B210" s="31"/>
      <c r="D210" s="31"/>
      <c r="E210" s="31"/>
    </row>
    <row r="211" spans="2:5" ht="12.75" customHeight="1" x14ac:dyDescent="0.35">
      <c r="B211" s="31"/>
      <c r="D211" s="31"/>
      <c r="E211" s="31"/>
    </row>
    <row r="212" spans="2:5" ht="12.75" customHeight="1" x14ac:dyDescent="0.35">
      <c r="B212" s="31"/>
      <c r="D212" s="31"/>
      <c r="E212" s="31"/>
    </row>
    <row r="213" spans="2:5" ht="12.75" customHeight="1" x14ac:dyDescent="0.35">
      <c r="B213" s="31"/>
      <c r="D213" s="31"/>
      <c r="E213" s="31"/>
    </row>
    <row r="214" spans="2:5" ht="12.75" customHeight="1" x14ac:dyDescent="0.35">
      <c r="B214" s="31"/>
      <c r="D214" s="31"/>
      <c r="E214" s="31"/>
    </row>
    <row r="215" spans="2:5" ht="12.75" customHeight="1" x14ac:dyDescent="0.35">
      <c r="B215" s="31"/>
      <c r="D215" s="31"/>
      <c r="E215" s="31"/>
    </row>
    <row r="216" spans="2:5" ht="12.75" customHeight="1" x14ac:dyDescent="0.35">
      <c r="B216" s="31"/>
      <c r="D216" s="31"/>
      <c r="E216" s="31"/>
    </row>
    <row r="217" spans="2:5" ht="12.75" customHeight="1" x14ac:dyDescent="0.35">
      <c r="B217" s="31"/>
      <c r="D217" s="31"/>
      <c r="E217" s="31"/>
    </row>
    <row r="218" spans="2:5" ht="12.75" customHeight="1" x14ac:dyDescent="0.35">
      <c r="B218" s="31"/>
      <c r="D218" s="31"/>
      <c r="E218" s="31"/>
    </row>
    <row r="219" spans="2:5" ht="12.75" customHeight="1" x14ac:dyDescent="0.35">
      <c r="B219" s="31"/>
      <c r="D219" s="31"/>
      <c r="E219" s="31"/>
    </row>
    <row r="220" spans="2:5" ht="12.75" customHeight="1" x14ac:dyDescent="0.35">
      <c r="B220" s="31"/>
      <c r="D220" s="31"/>
      <c r="E220" s="31"/>
    </row>
    <row r="221" spans="2:5" ht="12.75" customHeight="1" x14ac:dyDescent="0.35">
      <c r="B221" s="31"/>
      <c r="D221" s="31"/>
      <c r="E221" s="31"/>
    </row>
    <row r="222" spans="2:5" ht="12.75" customHeight="1" x14ac:dyDescent="0.35">
      <c r="B222" s="31"/>
      <c r="D222" s="31"/>
      <c r="E222" s="31"/>
    </row>
    <row r="223" spans="2:5" ht="12.75" customHeight="1" x14ac:dyDescent="0.35">
      <c r="B223" s="31"/>
      <c r="D223" s="31"/>
      <c r="E223" s="31"/>
    </row>
    <row r="224" spans="2:5" ht="12.75" customHeight="1" x14ac:dyDescent="0.35">
      <c r="B224" s="31"/>
      <c r="D224" s="31"/>
      <c r="E224" s="31"/>
    </row>
    <row r="225" spans="2:5" ht="12.75" customHeight="1" x14ac:dyDescent="0.35">
      <c r="B225" s="31"/>
      <c r="D225" s="31"/>
      <c r="E225" s="31"/>
    </row>
    <row r="226" spans="2:5" ht="12.75" customHeight="1" x14ac:dyDescent="0.35">
      <c r="B226" s="31"/>
      <c r="D226" s="31"/>
      <c r="E226" s="31"/>
    </row>
    <row r="227" spans="2:5" ht="12.75" customHeight="1" x14ac:dyDescent="0.35">
      <c r="B227" s="31"/>
      <c r="D227" s="31"/>
      <c r="E227" s="31"/>
    </row>
    <row r="228" spans="2:5" ht="12.75" customHeight="1" x14ac:dyDescent="0.35">
      <c r="B228" s="31"/>
      <c r="D228" s="31"/>
      <c r="E228" s="31"/>
    </row>
    <row r="229" spans="2:5" ht="12.75" customHeight="1" x14ac:dyDescent="0.35">
      <c r="B229" s="31"/>
      <c r="D229" s="31"/>
      <c r="E229" s="31"/>
    </row>
    <row r="230" spans="2:5" ht="12.75" customHeight="1" x14ac:dyDescent="0.35">
      <c r="B230" s="31"/>
      <c r="D230" s="31"/>
      <c r="E230" s="31"/>
    </row>
    <row r="231" spans="2:5" ht="12.75" customHeight="1" x14ac:dyDescent="0.35">
      <c r="B231" s="31"/>
      <c r="D231" s="31"/>
      <c r="E231" s="31"/>
    </row>
    <row r="232" spans="2:5" ht="12.75" customHeight="1" x14ac:dyDescent="0.35">
      <c r="B232" s="31"/>
      <c r="D232" s="31"/>
      <c r="E232" s="31"/>
    </row>
    <row r="233" spans="2:5" ht="12.75" customHeight="1" x14ac:dyDescent="0.35">
      <c r="B233" s="31"/>
      <c r="D233" s="31"/>
      <c r="E233" s="31"/>
    </row>
    <row r="234" spans="2:5" ht="12.75" customHeight="1" x14ac:dyDescent="0.35">
      <c r="B234" s="31"/>
      <c r="D234" s="31"/>
      <c r="E234" s="31"/>
    </row>
    <row r="235" spans="2:5" ht="12.75" customHeight="1" x14ac:dyDescent="0.35">
      <c r="B235" s="31"/>
      <c r="D235" s="31"/>
      <c r="E235" s="31"/>
    </row>
    <row r="236" spans="2:5" ht="12.75" customHeight="1" x14ac:dyDescent="0.35">
      <c r="B236" s="31"/>
      <c r="D236" s="31"/>
      <c r="E236" s="31"/>
    </row>
    <row r="237" spans="2:5" ht="12.75" customHeight="1" x14ac:dyDescent="0.35">
      <c r="B237" s="31"/>
      <c r="D237" s="31"/>
      <c r="E237" s="31"/>
    </row>
    <row r="238" spans="2:5" ht="12.75" customHeight="1" x14ac:dyDescent="0.35">
      <c r="B238" s="31"/>
      <c r="D238" s="31"/>
      <c r="E238" s="31"/>
    </row>
    <row r="239" spans="2:5" ht="12.75" customHeight="1" x14ac:dyDescent="0.35">
      <c r="B239" s="31"/>
      <c r="D239" s="31"/>
      <c r="E239" s="31"/>
    </row>
    <row r="240" spans="2:5" ht="12.75" customHeight="1" x14ac:dyDescent="0.35">
      <c r="B240" s="31"/>
      <c r="D240" s="31"/>
      <c r="E240" s="31"/>
    </row>
    <row r="241" spans="2:5" ht="12.75" customHeight="1" x14ac:dyDescent="0.35">
      <c r="B241" s="31"/>
      <c r="D241" s="31"/>
      <c r="E241" s="31"/>
    </row>
    <row r="242" spans="2:5" ht="12.75" customHeight="1" x14ac:dyDescent="0.35">
      <c r="B242" s="31"/>
      <c r="D242" s="31"/>
      <c r="E242" s="31"/>
    </row>
    <row r="243" spans="2:5" ht="12.75" customHeight="1" x14ac:dyDescent="0.35">
      <c r="B243" s="31"/>
      <c r="D243" s="31"/>
      <c r="E243" s="31"/>
    </row>
    <row r="244" spans="2:5" ht="12.75" customHeight="1" x14ac:dyDescent="0.35">
      <c r="B244" s="31"/>
      <c r="D244" s="31"/>
      <c r="E244" s="31"/>
    </row>
    <row r="245" spans="2:5" ht="12.75" customHeight="1" x14ac:dyDescent="0.35">
      <c r="B245" s="31"/>
      <c r="D245" s="31"/>
      <c r="E245" s="31"/>
    </row>
    <row r="246" spans="2:5" ht="12.75" customHeight="1" x14ac:dyDescent="0.35">
      <c r="B246" s="31"/>
      <c r="D246" s="31"/>
      <c r="E246" s="31"/>
    </row>
    <row r="247" spans="2:5" ht="12.75" customHeight="1" x14ac:dyDescent="0.35">
      <c r="B247" s="31"/>
      <c r="D247" s="31"/>
      <c r="E247" s="31"/>
    </row>
    <row r="248" spans="2:5" ht="12.75" customHeight="1" x14ac:dyDescent="0.35">
      <c r="B248" s="31"/>
      <c r="D248" s="31"/>
      <c r="E248" s="31"/>
    </row>
    <row r="249" spans="2:5" ht="12.75" customHeight="1" x14ac:dyDescent="0.35">
      <c r="B249" s="31"/>
      <c r="D249" s="31"/>
      <c r="E249" s="31"/>
    </row>
    <row r="250" spans="2:5" ht="12.75" customHeight="1" x14ac:dyDescent="0.35">
      <c r="B250" s="31"/>
      <c r="D250" s="31"/>
      <c r="E250" s="31"/>
    </row>
    <row r="251" spans="2:5" ht="12.75" customHeight="1" x14ac:dyDescent="0.35">
      <c r="B251" s="31"/>
      <c r="D251" s="31"/>
      <c r="E251" s="31"/>
    </row>
    <row r="252" spans="2:5" ht="12.75" customHeight="1" x14ac:dyDescent="0.35">
      <c r="B252" s="31"/>
      <c r="D252" s="31"/>
      <c r="E252" s="31"/>
    </row>
    <row r="253" spans="2:5" ht="12.75" customHeight="1" x14ac:dyDescent="0.35">
      <c r="B253" s="31"/>
      <c r="D253" s="31"/>
      <c r="E253" s="31"/>
    </row>
    <row r="254" spans="2:5" ht="12.75" customHeight="1" x14ac:dyDescent="0.35">
      <c r="B254" s="31"/>
      <c r="D254" s="31"/>
      <c r="E254" s="31"/>
    </row>
    <row r="255" spans="2:5" ht="12.75" customHeight="1" x14ac:dyDescent="0.35">
      <c r="B255" s="31"/>
      <c r="D255" s="31"/>
      <c r="E255" s="31"/>
    </row>
    <row r="256" spans="2:5" ht="12.75" customHeight="1" x14ac:dyDescent="0.35">
      <c r="B256" s="31"/>
      <c r="D256" s="31"/>
      <c r="E256" s="31"/>
    </row>
    <row r="257" spans="2:5" ht="12.75" customHeight="1" x14ac:dyDescent="0.35">
      <c r="B257" s="31"/>
      <c r="D257" s="31"/>
      <c r="E257" s="31"/>
    </row>
    <row r="258" spans="2:5" ht="12.75" customHeight="1" x14ac:dyDescent="0.35">
      <c r="B258" s="31"/>
      <c r="D258" s="31"/>
      <c r="E258" s="31"/>
    </row>
    <row r="259" spans="2:5" ht="12.75" customHeight="1" x14ac:dyDescent="0.35">
      <c r="B259" s="31"/>
      <c r="D259" s="31"/>
      <c r="E259" s="31"/>
    </row>
    <row r="260" spans="2:5" ht="12.75" customHeight="1" x14ac:dyDescent="0.35">
      <c r="B260" s="31"/>
      <c r="D260" s="31"/>
      <c r="E260" s="31"/>
    </row>
    <row r="261" spans="2:5" ht="12.75" customHeight="1" x14ac:dyDescent="0.35">
      <c r="B261" s="31"/>
      <c r="D261" s="31"/>
      <c r="E261" s="31"/>
    </row>
    <row r="262" spans="2:5" ht="12.75" customHeight="1" x14ac:dyDescent="0.35">
      <c r="B262" s="31"/>
      <c r="D262" s="31"/>
      <c r="E262" s="31"/>
    </row>
    <row r="263" spans="2:5" ht="12.75" customHeight="1" x14ac:dyDescent="0.35">
      <c r="B263" s="31"/>
      <c r="D263" s="31"/>
      <c r="E263" s="31"/>
    </row>
    <row r="264" spans="2:5" ht="12.75" customHeight="1" x14ac:dyDescent="0.35">
      <c r="B264" s="31"/>
      <c r="D264" s="31"/>
      <c r="E264" s="31"/>
    </row>
    <row r="265" spans="2:5" ht="12.75" customHeight="1" x14ac:dyDescent="0.35">
      <c r="B265" s="31"/>
      <c r="D265" s="31"/>
      <c r="E265" s="31"/>
    </row>
    <row r="266" spans="2:5" ht="12.75" customHeight="1" x14ac:dyDescent="0.35">
      <c r="B266" s="31"/>
      <c r="D266" s="31"/>
      <c r="E266" s="31"/>
    </row>
    <row r="267" spans="2:5" ht="12.75" customHeight="1" x14ac:dyDescent="0.35">
      <c r="B267" s="31"/>
      <c r="D267" s="31"/>
      <c r="E267" s="31"/>
    </row>
    <row r="268" spans="2:5" ht="12.75" customHeight="1" x14ac:dyDescent="0.35">
      <c r="B268" s="31"/>
      <c r="D268" s="31"/>
      <c r="E268" s="31"/>
    </row>
    <row r="269" spans="2:5" ht="12.75" customHeight="1" x14ac:dyDescent="0.35">
      <c r="B269" s="31"/>
      <c r="D269" s="31"/>
      <c r="E269" s="31"/>
    </row>
    <row r="270" spans="2:5" ht="12.75" customHeight="1" x14ac:dyDescent="0.35">
      <c r="B270" s="31"/>
      <c r="D270" s="31"/>
      <c r="E270" s="31"/>
    </row>
    <row r="271" spans="2:5" ht="12.75" customHeight="1" x14ac:dyDescent="0.35">
      <c r="B271" s="31"/>
      <c r="D271" s="31"/>
      <c r="E271" s="31"/>
    </row>
    <row r="272" spans="2:5" ht="12.75" customHeight="1" x14ac:dyDescent="0.35">
      <c r="B272" s="31"/>
      <c r="D272" s="31"/>
      <c r="E272" s="31"/>
    </row>
    <row r="273" spans="2:5" ht="12.75" customHeight="1" x14ac:dyDescent="0.35">
      <c r="B273" s="31"/>
      <c r="D273" s="31"/>
      <c r="E273" s="31"/>
    </row>
    <row r="274" spans="2:5" ht="12.75" customHeight="1" x14ac:dyDescent="0.35">
      <c r="B274" s="31"/>
      <c r="D274" s="31"/>
      <c r="E274" s="31"/>
    </row>
    <row r="275" spans="2:5" ht="12.75" customHeight="1" x14ac:dyDescent="0.35">
      <c r="B275" s="31"/>
      <c r="D275" s="31"/>
      <c r="E275" s="31"/>
    </row>
    <row r="276" spans="2:5" ht="12.75" customHeight="1" x14ac:dyDescent="0.35">
      <c r="B276" s="31"/>
      <c r="D276" s="31"/>
      <c r="E276" s="31"/>
    </row>
    <row r="277" spans="2:5" ht="12.75" customHeight="1" x14ac:dyDescent="0.35">
      <c r="B277" s="31"/>
      <c r="D277" s="31"/>
      <c r="E277" s="31"/>
    </row>
    <row r="278" spans="2:5" ht="12.75" customHeight="1" x14ac:dyDescent="0.35">
      <c r="B278" s="31"/>
      <c r="D278" s="31"/>
      <c r="E278" s="31"/>
    </row>
    <row r="279" spans="2:5" ht="12.75" customHeight="1" x14ac:dyDescent="0.35">
      <c r="B279" s="31"/>
      <c r="D279" s="31"/>
      <c r="E279" s="31"/>
    </row>
    <row r="280" spans="2:5" ht="12.75" customHeight="1" x14ac:dyDescent="0.35">
      <c r="B280" s="31"/>
      <c r="D280" s="31"/>
      <c r="E280" s="31"/>
    </row>
    <row r="281" spans="2:5" ht="12.75" customHeight="1" x14ac:dyDescent="0.35">
      <c r="B281" s="31"/>
      <c r="D281" s="31"/>
      <c r="E281" s="31"/>
    </row>
    <row r="282" spans="2:5" ht="12.75" customHeight="1" x14ac:dyDescent="0.35">
      <c r="B282" s="31"/>
      <c r="D282" s="31"/>
      <c r="E282" s="31"/>
    </row>
    <row r="283" spans="2:5" ht="12.75" customHeight="1" x14ac:dyDescent="0.35">
      <c r="B283" s="31"/>
      <c r="D283" s="31"/>
      <c r="E283" s="31"/>
    </row>
    <row r="284" spans="2:5" ht="12.75" customHeight="1" x14ac:dyDescent="0.35">
      <c r="B284" s="31"/>
      <c r="D284" s="31"/>
      <c r="E284" s="31"/>
    </row>
    <row r="285" spans="2:5" ht="12.75" customHeight="1" x14ac:dyDescent="0.35">
      <c r="B285" s="31"/>
      <c r="D285" s="31"/>
      <c r="E285" s="31"/>
    </row>
    <row r="286" spans="2:5" ht="12.75" customHeight="1" x14ac:dyDescent="0.35">
      <c r="B286" s="31"/>
      <c r="D286" s="31"/>
      <c r="E286" s="31"/>
    </row>
    <row r="287" spans="2:5" ht="12.75" customHeight="1" x14ac:dyDescent="0.35">
      <c r="B287" s="31"/>
      <c r="D287" s="31"/>
      <c r="E287" s="31"/>
    </row>
    <row r="288" spans="2:5" ht="12.75" customHeight="1" x14ac:dyDescent="0.35">
      <c r="B288" s="31"/>
      <c r="D288" s="31"/>
      <c r="E288" s="31"/>
    </row>
    <row r="289" spans="2:5" ht="12.75" customHeight="1" x14ac:dyDescent="0.35">
      <c r="B289" s="31"/>
      <c r="D289" s="31"/>
      <c r="E289" s="31"/>
    </row>
    <row r="290" spans="2:5" ht="12.75" customHeight="1" x14ac:dyDescent="0.35">
      <c r="B290" s="31"/>
      <c r="D290" s="31"/>
      <c r="E290" s="31"/>
    </row>
    <row r="291" spans="2:5" ht="12.75" customHeight="1" x14ac:dyDescent="0.35">
      <c r="B291" s="31"/>
      <c r="D291" s="31"/>
      <c r="E291" s="31"/>
    </row>
    <row r="292" spans="2:5" ht="12.75" customHeight="1" x14ac:dyDescent="0.35">
      <c r="B292" s="31"/>
      <c r="D292" s="31"/>
      <c r="E292" s="31"/>
    </row>
    <row r="293" spans="2:5" ht="12.75" customHeight="1" x14ac:dyDescent="0.35">
      <c r="B293" s="31"/>
      <c r="D293" s="31"/>
      <c r="E293" s="31"/>
    </row>
    <row r="294" spans="2:5" ht="12.75" customHeight="1" x14ac:dyDescent="0.35">
      <c r="B294" s="31"/>
      <c r="D294" s="31"/>
      <c r="E294" s="31"/>
    </row>
    <row r="295" spans="2:5" ht="12.75" customHeight="1" x14ac:dyDescent="0.35">
      <c r="B295" s="31"/>
      <c r="D295" s="31"/>
      <c r="E295" s="31"/>
    </row>
    <row r="296" spans="2:5" ht="12.75" customHeight="1" x14ac:dyDescent="0.35">
      <c r="B296" s="31"/>
      <c r="D296" s="31"/>
      <c r="E296" s="31"/>
    </row>
    <row r="297" spans="2:5" ht="12.75" customHeight="1" x14ac:dyDescent="0.35">
      <c r="B297" s="31"/>
      <c r="D297" s="31"/>
      <c r="E297" s="31"/>
    </row>
    <row r="298" spans="2:5" ht="12.75" customHeight="1" x14ac:dyDescent="0.35">
      <c r="B298" s="31"/>
      <c r="D298" s="31"/>
      <c r="E298" s="31"/>
    </row>
    <row r="299" spans="2:5" ht="12.75" customHeight="1" x14ac:dyDescent="0.35">
      <c r="B299" s="31"/>
      <c r="D299" s="31"/>
      <c r="E299" s="31"/>
    </row>
    <row r="300" spans="2:5" ht="12.75" customHeight="1" x14ac:dyDescent="0.35">
      <c r="B300" s="31"/>
      <c r="D300" s="31"/>
      <c r="E300" s="31"/>
    </row>
    <row r="301" spans="2:5" ht="12.75" customHeight="1" x14ac:dyDescent="0.35">
      <c r="B301" s="31"/>
      <c r="D301" s="31"/>
      <c r="E301" s="31"/>
    </row>
    <row r="302" spans="2:5" ht="12.75" customHeight="1" x14ac:dyDescent="0.35">
      <c r="B302" s="31"/>
      <c r="D302" s="31"/>
      <c r="E302" s="31"/>
    </row>
    <row r="303" spans="2:5" ht="12.75" customHeight="1" x14ac:dyDescent="0.35">
      <c r="B303" s="31"/>
      <c r="D303" s="31"/>
      <c r="E303" s="31"/>
    </row>
  </sheetData>
  <sheetProtection algorithmName="SHA-512" hashValue="TXLt4m7pfqU7USxdGlQduXvYlRpQ7M/DbFGKMU2Oca39RAiem1kwD5KEX1moAx1bHjhizUwpJAdxl4qogJT/xA==" saltValue="0pkzf/RN0Io73sXFev+FjA=="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CE8-522B-4B29-8264-0270A0836ACB}">
  <sheetPr codeName="Sheet7"/>
  <dimension ref="B1:W303"/>
  <sheetViews>
    <sheetView zoomScale="90" zoomScaleNormal="90" workbookViewId="0">
      <selection activeCell="J23" sqref="J23"/>
    </sheetView>
  </sheetViews>
  <sheetFormatPr defaultRowHeight="12.75" x14ac:dyDescent="0.35"/>
  <cols>
    <col min="2" max="2" width="43.86328125" bestFit="1" customWidth="1"/>
    <col min="3" max="3" width="12.265625" style="31" hidden="1" customWidth="1"/>
    <col min="4" max="4" width="13.06640625" hidden="1" customWidth="1"/>
    <col min="5" max="5" width="13.06640625" style="34" hidden="1" customWidth="1"/>
    <col min="6" max="6" width="13.06640625" style="69" hidden="1" customWidth="1"/>
    <col min="7" max="8" width="12" hidden="1" customWidth="1"/>
    <col min="9" max="11" width="9.796875" bestFit="1" customWidth="1"/>
    <col min="12" max="12" width="11.06640625" bestFit="1" customWidth="1"/>
    <col min="14" max="16" width="9.796875" bestFit="1" customWidth="1"/>
    <col min="17" max="17" width="11.06640625" bestFit="1" customWidth="1"/>
    <col min="19" max="21" width="9.796875" bestFit="1" customWidth="1"/>
    <col min="22" max="22" width="11.06640625" bestFit="1" customWidth="1"/>
    <col min="23" max="23" width="63.796875" customWidth="1"/>
  </cols>
  <sheetData>
    <row r="1" spans="2:23" ht="12.75" customHeight="1" x14ac:dyDescent="0.35">
      <c r="B1" s="145" t="s">
        <v>303</v>
      </c>
      <c r="C1" s="76"/>
      <c r="D1" s="52"/>
      <c r="E1" s="52"/>
      <c r="F1" s="68"/>
    </row>
    <row r="2" spans="2:23" ht="12.75" customHeight="1" x14ac:dyDescent="0.35">
      <c r="B2" s="52"/>
      <c r="C2" s="76"/>
      <c r="D2" s="52"/>
      <c r="E2" s="52"/>
      <c r="F2" s="68"/>
    </row>
    <row r="3" spans="2:23" ht="12.75" customHeight="1" x14ac:dyDescent="0.35">
      <c r="B3" s="52"/>
      <c r="C3" s="76"/>
      <c r="D3" s="52"/>
      <c r="E3" s="52"/>
      <c r="F3" s="68"/>
    </row>
    <row r="4" spans="2:23" ht="12.75" customHeight="1" x14ac:dyDescent="0.35">
      <c r="B4" s="52"/>
      <c r="C4" s="76"/>
      <c r="D4" s="52"/>
      <c r="E4" s="52"/>
      <c r="F4" s="68"/>
    </row>
    <row r="5" spans="2:23" ht="12.75" customHeight="1" x14ac:dyDescent="0.35">
      <c r="B5" s="52"/>
      <c r="C5" s="76"/>
      <c r="D5" s="52"/>
      <c r="E5" s="52"/>
      <c r="F5" s="68"/>
    </row>
    <row r="6" spans="2:23" ht="38.25" customHeight="1" thickBot="1" x14ac:dyDescent="0.4">
      <c r="B6" s="125" t="s">
        <v>233</v>
      </c>
      <c r="C6" s="76"/>
      <c r="D6" s="52"/>
      <c r="E6" s="52"/>
      <c r="F6" s="68"/>
    </row>
    <row r="7" spans="2:23" ht="12.75" customHeight="1" thickTop="1" x14ac:dyDescent="0.35">
      <c r="I7" s="202" t="s">
        <v>294</v>
      </c>
      <c r="J7" s="207"/>
      <c r="K7" s="188"/>
      <c r="L7" s="189"/>
      <c r="N7" s="202" t="s">
        <v>224</v>
      </c>
      <c r="O7" s="236" t="str">
        <f>B1</f>
        <v>Option B</v>
      </c>
      <c r="P7" s="188"/>
      <c r="Q7" s="189"/>
      <c r="S7" s="202" t="s">
        <v>295</v>
      </c>
      <c r="T7" s="207"/>
      <c r="U7" s="188"/>
      <c r="V7" s="189"/>
    </row>
    <row r="8" spans="2:23" ht="12.75" customHeight="1" x14ac:dyDescent="0.35">
      <c r="C8" s="77"/>
      <c r="F8" s="144" t="s">
        <v>140</v>
      </c>
      <c r="G8" s="144" t="s">
        <v>140</v>
      </c>
      <c r="I8" s="208"/>
      <c r="J8" s="209"/>
      <c r="K8" s="190" t="s">
        <v>140</v>
      </c>
      <c r="L8" s="191" t="s">
        <v>140</v>
      </c>
      <c r="N8" s="208"/>
      <c r="O8" s="209"/>
      <c r="P8" s="190" t="s">
        <v>140</v>
      </c>
      <c r="Q8" s="191" t="s">
        <v>140</v>
      </c>
      <c r="S8" s="208"/>
      <c r="T8" s="209"/>
      <c r="U8" s="190" t="s">
        <v>140</v>
      </c>
      <c r="V8" s="191" t="s">
        <v>140</v>
      </c>
    </row>
    <row r="9" spans="2:23" ht="12.75" customHeight="1" thickBot="1" x14ac:dyDescent="0.4">
      <c r="B9" s="4"/>
      <c r="C9" s="78"/>
      <c r="D9" s="47">
        <v>43983</v>
      </c>
      <c r="E9" s="46">
        <v>44348</v>
      </c>
      <c r="F9" s="70">
        <v>44713</v>
      </c>
      <c r="G9" s="130" t="s">
        <v>238</v>
      </c>
      <c r="I9" s="192">
        <v>43983</v>
      </c>
      <c r="J9" s="193">
        <v>44348</v>
      </c>
      <c r="K9" s="194">
        <v>44713</v>
      </c>
      <c r="L9" s="195" t="s">
        <v>238</v>
      </c>
      <c r="N9" s="192">
        <v>43983</v>
      </c>
      <c r="O9" s="193">
        <v>44348</v>
      </c>
      <c r="P9" s="194">
        <v>44713</v>
      </c>
      <c r="Q9" s="195" t="s">
        <v>238</v>
      </c>
      <c r="S9" s="192">
        <v>43983</v>
      </c>
      <c r="T9" s="193">
        <v>44348</v>
      </c>
      <c r="U9" s="194">
        <v>44713</v>
      </c>
      <c r="V9" s="195" t="s">
        <v>238</v>
      </c>
    </row>
    <row r="10" spans="2:23" ht="12.75" customHeight="1" thickTop="1" thickBot="1" x14ac:dyDescent="0.4">
      <c r="C10" s="79"/>
      <c r="D10" s="9" t="s">
        <v>223</v>
      </c>
      <c r="E10" s="44" t="s">
        <v>131</v>
      </c>
      <c r="F10" s="9" t="s">
        <v>131</v>
      </c>
      <c r="G10" s="9" t="s">
        <v>131</v>
      </c>
      <c r="I10" s="203" t="s">
        <v>223</v>
      </c>
      <c r="J10" s="204" t="s">
        <v>131</v>
      </c>
      <c r="K10" s="205" t="s">
        <v>131</v>
      </c>
      <c r="L10" s="206" t="s">
        <v>131</v>
      </c>
      <c r="N10" s="203" t="s">
        <v>223</v>
      </c>
      <c r="O10" s="204" t="s">
        <v>131</v>
      </c>
      <c r="P10" s="205" t="s">
        <v>131</v>
      </c>
      <c r="Q10" s="206" t="s">
        <v>131</v>
      </c>
      <c r="S10" s="203" t="s">
        <v>223</v>
      </c>
      <c r="T10" s="204" t="s">
        <v>131</v>
      </c>
      <c r="U10" s="205" t="s">
        <v>131</v>
      </c>
      <c r="V10" s="225" t="s">
        <v>131</v>
      </c>
      <c r="W10" s="233" t="s">
        <v>297</v>
      </c>
    </row>
    <row r="11" spans="2:23" ht="12.75" customHeight="1" thickTop="1" x14ac:dyDescent="0.35">
      <c r="B11" s="3" t="s">
        <v>3</v>
      </c>
      <c r="G11" s="129"/>
      <c r="I11" s="210"/>
      <c r="J11" s="211"/>
      <c r="K11" s="211"/>
      <c r="L11" s="212"/>
      <c r="N11" s="210"/>
      <c r="O11" s="211"/>
      <c r="P11" s="211"/>
      <c r="Q11" s="212"/>
      <c r="S11" s="210"/>
      <c r="T11" s="211"/>
      <c r="U11" s="211"/>
      <c r="V11" s="226"/>
      <c r="W11" s="234"/>
    </row>
    <row r="12" spans="2:23" ht="12.75" customHeight="1" x14ac:dyDescent="0.35">
      <c r="B12" s="3" t="s">
        <v>4</v>
      </c>
      <c r="C12" s="81"/>
      <c r="D12" s="103">
        <v>45700</v>
      </c>
      <c r="E12" s="103">
        <v>36700</v>
      </c>
      <c r="F12" s="103">
        <v>36700</v>
      </c>
      <c r="G12" s="103">
        <f>'BASE - Pre CV-19'!O19</f>
        <v>23700</v>
      </c>
      <c r="I12" s="196">
        <f>D12</f>
        <v>45700</v>
      </c>
      <c r="J12" s="197">
        <f t="shared" ref="J12:L12" si="0">E12</f>
        <v>36700</v>
      </c>
      <c r="K12" s="197">
        <f t="shared" si="0"/>
        <v>36700</v>
      </c>
      <c r="L12" s="198">
        <f t="shared" si="0"/>
        <v>23700</v>
      </c>
      <c r="M12" s="138"/>
      <c r="N12" s="196">
        <f>D13</f>
        <v>33984</v>
      </c>
      <c r="O12" s="197">
        <f t="shared" ref="O12:Q12" si="1">E13</f>
        <v>27500</v>
      </c>
      <c r="P12" s="197">
        <f t="shared" si="1"/>
        <v>27500</v>
      </c>
      <c r="Q12" s="198">
        <f t="shared" si="1"/>
        <v>23700</v>
      </c>
      <c r="R12" s="138"/>
      <c r="S12" s="196">
        <f>N12-I12</f>
        <v>-11716</v>
      </c>
      <c r="T12" s="197">
        <f t="shared" ref="T12:V12" si="2">O12-J12</f>
        <v>-9200</v>
      </c>
      <c r="U12" s="197">
        <f t="shared" si="2"/>
        <v>-9200</v>
      </c>
      <c r="V12" s="227">
        <f t="shared" si="2"/>
        <v>0</v>
      </c>
      <c r="W12" s="234" t="s">
        <v>298</v>
      </c>
    </row>
    <row r="13" spans="2:23" ht="12.75" customHeight="1" x14ac:dyDescent="0.35">
      <c r="C13" s="100" t="s">
        <v>224</v>
      </c>
      <c r="D13" s="104">
        <v>33984</v>
      </c>
      <c r="E13" s="105">
        <v>27500</v>
      </c>
      <c r="F13" s="104">
        <v>27500</v>
      </c>
      <c r="G13" s="104">
        <f>G12</f>
        <v>23700</v>
      </c>
      <c r="I13" s="213"/>
      <c r="J13" s="214"/>
      <c r="K13" s="214"/>
      <c r="L13" s="215"/>
      <c r="N13" s="213"/>
      <c r="O13" s="214"/>
      <c r="P13" s="214"/>
      <c r="Q13" s="215"/>
      <c r="S13" s="213"/>
      <c r="T13" s="214"/>
      <c r="U13" s="214"/>
      <c r="V13" s="228"/>
      <c r="W13" s="234"/>
    </row>
    <row r="14" spans="2:23" ht="12.75" customHeight="1" x14ac:dyDescent="0.35">
      <c r="B14" s="3" t="s">
        <v>10</v>
      </c>
      <c r="D14" s="106"/>
      <c r="E14" s="107"/>
      <c r="F14" s="108"/>
      <c r="I14" s="210"/>
      <c r="J14" s="211"/>
      <c r="K14" s="211"/>
      <c r="L14" s="211"/>
      <c r="N14" s="210"/>
      <c r="O14" s="211"/>
      <c r="P14" s="211"/>
      <c r="Q14" s="211"/>
      <c r="S14" s="210"/>
      <c r="T14" s="211"/>
      <c r="U14" s="211"/>
      <c r="V14" s="226"/>
      <c r="W14" s="234"/>
    </row>
    <row r="15" spans="2:23" ht="12.75" customHeight="1" x14ac:dyDescent="0.35">
      <c r="B15" s="3" t="s">
        <v>11</v>
      </c>
      <c r="D15" s="103">
        <v>181992.66750000001</v>
      </c>
      <c r="E15" s="103">
        <v>191092.30087500002</v>
      </c>
      <c r="F15" s="103">
        <v>200646.91591875005</v>
      </c>
      <c r="G15" s="103">
        <f>'BASE - Pre CV-19'!O31</f>
        <v>210679.26171468751</v>
      </c>
      <c r="I15" s="196">
        <f>D15</f>
        <v>181992.66750000001</v>
      </c>
      <c r="J15" s="197">
        <f t="shared" ref="J15:L15" si="3">E15</f>
        <v>191092.30087500002</v>
      </c>
      <c r="K15" s="197">
        <f t="shared" si="3"/>
        <v>200646.91591875005</v>
      </c>
      <c r="L15" s="198">
        <f t="shared" si="3"/>
        <v>210679.26171468751</v>
      </c>
      <c r="M15" s="138"/>
      <c r="N15" s="196">
        <f>D16</f>
        <v>192659</v>
      </c>
      <c r="O15" s="197">
        <f t="shared" ref="O15:Q15" si="4">E16</f>
        <v>192109</v>
      </c>
      <c r="P15" s="197">
        <f t="shared" si="4"/>
        <v>201704</v>
      </c>
      <c r="Q15" s="198">
        <f t="shared" si="4"/>
        <v>210679.26171468751</v>
      </c>
      <c r="R15" s="138"/>
      <c r="S15" s="196">
        <f>N15-I15</f>
        <v>10666.33249999999</v>
      </c>
      <c r="T15" s="197">
        <f t="shared" ref="T15:V15" si="5">O15-J15</f>
        <v>1016.6991249999846</v>
      </c>
      <c r="U15" s="197">
        <f t="shared" si="5"/>
        <v>1057.0840812499519</v>
      </c>
      <c r="V15" s="227">
        <f t="shared" si="5"/>
        <v>0</v>
      </c>
      <c r="W15" s="234"/>
    </row>
    <row r="16" spans="2:23" ht="12.75" customHeight="1" x14ac:dyDescent="0.35">
      <c r="C16" s="100" t="s">
        <v>224</v>
      </c>
      <c r="D16" s="105">
        <v>192659</v>
      </c>
      <c r="E16" s="105">
        <v>192109</v>
      </c>
      <c r="F16" s="105">
        <v>201704</v>
      </c>
      <c r="G16" s="105">
        <f>G15</f>
        <v>210679.26171468751</v>
      </c>
      <c r="I16" s="216"/>
      <c r="J16" s="217"/>
      <c r="K16" s="217"/>
      <c r="L16" s="218"/>
      <c r="M16" s="138"/>
      <c r="N16" s="216"/>
      <c r="O16" s="217"/>
      <c r="P16" s="217"/>
      <c r="Q16" s="218"/>
      <c r="R16" s="138"/>
      <c r="S16" s="216"/>
      <c r="T16" s="217"/>
      <c r="U16" s="217"/>
      <c r="V16" s="229"/>
      <c r="W16" s="234"/>
    </row>
    <row r="17" spans="2:23" ht="12.75" customHeight="1" x14ac:dyDescent="0.35">
      <c r="B17" s="3" t="s">
        <v>19</v>
      </c>
      <c r="C17" s="81"/>
      <c r="D17" s="103">
        <v>274023.0999545455</v>
      </c>
      <c r="E17" s="103">
        <v>287724.25495227281</v>
      </c>
      <c r="F17" s="103">
        <v>302110.46769988647</v>
      </c>
      <c r="G17" s="103">
        <f>'BASE - Pre CV-19'!O39</f>
        <v>290842.64897795231</v>
      </c>
      <c r="H17" s="133"/>
      <c r="I17" s="196">
        <f>D17</f>
        <v>274023.0999545455</v>
      </c>
      <c r="J17" s="197">
        <f t="shared" ref="J17:L17" si="6">E17</f>
        <v>287724.25495227281</v>
      </c>
      <c r="K17" s="197">
        <f t="shared" si="6"/>
        <v>302110.46769988647</v>
      </c>
      <c r="L17" s="198">
        <f t="shared" si="6"/>
        <v>290842.64897795231</v>
      </c>
      <c r="M17" s="138"/>
      <c r="N17" s="196">
        <f>D18</f>
        <v>258682</v>
      </c>
      <c r="O17" s="197">
        <f t="shared" ref="O17:Q17" si="7">E18</f>
        <v>284170</v>
      </c>
      <c r="P17" s="197">
        <f t="shared" si="7"/>
        <v>292923.60000000003</v>
      </c>
      <c r="Q17" s="198">
        <f t="shared" si="7"/>
        <v>290842.64897795231</v>
      </c>
      <c r="R17" s="138"/>
      <c r="S17" s="196">
        <f>N17-I17</f>
        <v>-15341.099954545498</v>
      </c>
      <c r="T17" s="197">
        <f t="shared" ref="T17:V17" si="8">O17-J17</f>
        <v>-3554.2549522728077</v>
      </c>
      <c r="U17" s="197">
        <f t="shared" si="8"/>
        <v>-9186.8676998864394</v>
      </c>
      <c r="V17" s="227">
        <f t="shared" si="8"/>
        <v>0</v>
      </c>
      <c r="W17" s="234"/>
    </row>
    <row r="18" spans="2:23" ht="12.75" customHeight="1" x14ac:dyDescent="0.35">
      <c r="C18" s="100" t="s">
        <v>224</v>
      </c>
      <c r="D18" s="104">
        <v>258682</v>
      </c>
      <c r="E18" s="105">
        <v>284170</v>
      </c>
      <c r="F18" s="104">
        <f>(346*1.02)*830</f>
        <v>292923.60000000003</v>
      </c>
      <c r="G18" s="105">
        <f>G17</f>
        <v>290842.64897795231</v>
      </c>
      <c r="I18" s="213"/>
      <c r="J18" s="214"/>
      <c r="K18" s="214"/>
      <c r="L18" s="215"/>
      <c r="N18" s="213"/>
      <c r="O18" s="214"/>
      <c r="P18" s="214"/>
      <c r="Q18" s="215"/>
      <c r="S18" s="213"/>
      <c r="T18" s="214"/>
      <c r="U18" s="214"/>
      <c r="V18" s="228"/>
      <c r="W18" s="234"/>
    </row>
    <row r="19" spans="2:23" ht="12.75" customHeight="1" thickBot="1" x14ac:dyDescent="0.4">
      <c r="B19" s="6" t="s">
        <v>27</v>
      </c>
      <c r="C19" s="82"/>
      <c r="D19" s="103">
        <f>D17+D15</f>
        <v>456015.76745454548</v>
      </c>
      <c r="E19" s="103">
        <f>E17+E15</f>
        <v>478816.55582727282</v>
      </c>
      <c r="F19" s="103">
        <f>F17+F15</f>
        <v>502757.38361863652</v>
      </c>
      <c r="G19" s="103">
        <f>G17+G15</f>
        <v>501521.91069263982</v>
      </c>
      <c r="I19" s="196">
        <f>D19</f>
        <v>456015.76745454548</v>
      </c>
      <c r="J19" s="197">
        <f t="shared" ref="J19:L19" si="9">E19</f>
        <v>478816.55582727282</v>
      </c>
      <c r="K19" s="197">
        <f t="shared" si="9"/>
        <v>502757.38361863652</v>
      </c>
      <c r="L19" s="198">
        <f t="shared" si="9"/>
        <v>501521.91069263982</v>
      </c>
      <c r="M19" s="138"/>
      <c r="N19" s="196">
        <f>D20</f>
        <v>451341</v>
      </c>
      <c r="O19" s="197">
        <f t="shared" ref="O19:Q19" si="10">E20</f>
        <v>476279</v>
      </c>
      <c r="P19" s="197">
        <f t="shared" si="10"/>
        <v>494627.60000000003</v>
      </c>
      <c r="Q19" s="198">
        <f t="shared" si="10"/>
        <v>501521.91069263982</v>
      </c>
      <c r="R19" s="138"/>
      <c r="S19" s="196">
        <f>N19-I19</f>
        <v>-4674.7674545454793</v>
      </c>
      <c r="T19" s="197">
        <f t="shared" ref="T19:V19" si="11">O19-J19</f>
        <v>-2537.5558272728231</v>
      </c>
      <c r="U19" s="197">
        <f t="shared" si="11"/>
        <v>-8129.7836186364875</v>
      </c>
      <c r="V19" s="227">
        <f t="shared" si="11"/>
        <v>0</v>
      </c>
      <c r="W19" s="234"/>
    </row>
    <row r="20" spans="2:23" ht="12.75" customHeight="1" thickTop="1" x14ac:dyDescent="0.35">
      <c r="C20" s="100" t="s">
        <v>224</v>
      </c>
      <c r="D20" s="105">
        <f>D18+D16</f>
        <v>451341</v>
      </c>
      <c r="E20" s="105">
        <f>E18+E16</f>
        <v>476279</v>
      </c>
      <c r="F20" s="105">
        <f>F18+F16</f>
        <v>494627.60000000003</v>
      </c>
      <c r="G20" s="105">
        <f>G18+G16</f>
        <v>501521.91069263982</v>
      </c>
      <c r="I20" s="216"/>
      <c r="J20" s="217"/>
      <c r="K20" s="217"/>
      <c r="L20" s="218"/>
      <c r="M20" s="138"/>
      <c r="N20" s="216"/>
      <c r="O20" s="217"/>
      <c r="P20" s="217"/>
      <c r="Q20" s="218"/>
      <c r="R20" s="138"/>
      <c r="S20" s="216"/>
      <c r="T20" s="217"/>
      <c r="U20" s="217"/>
      <c r="V20" s="229"/>
      <c r="W20" s="234"/>
    </row>
    <row r="21" spans="2:23" ht="12.75" hidden="1" customHeight="1" x14ac:dyDescent="0.35">
      <c r="B21" s="1" t="s">
        <v>34</v>
      </c>
      <c r="C21" s="80"/>
      <c r="D21" s="101"/>
      <c r="E21" s="109"/>
      <c r="F21" s="101"/>
      <c r="I21" s="196"/>
      <c r="J21" s="197"/>
      <c r="K21" s="197"/>
      <c r="L21" s="198"/>
      <c r="M21" s="138"/>
      <c r="N21" s="196"/>
      <c r="O21" s="197"/>
      <c r="P21" s="197"/>
      <c r="Q21" s="198"/>
      <c r="R21" s="138"/>
      <c r="S21" s="196"/>
      <c r="T21" s="197"/>
      <c r="U21" s="197"/>
      <c r="V21" s="227"/>
      <c r="W21" s="234"/>
    </row>
    <row r="22" spans="2:23" ht="12.75" customHeight="1" x14ac:dyDescent="0.35">
      <c r="B22" s="3" t="s">
        <v>28</v>
      </c>
      <c r="C22" s="83"/>
      <c r="D22" s="103">
        <v>105480</v>
      </c>
      <c r="E22" s="103">
        <v>110754</v>
      </c>
      <c r="F22" s="103">
        <v>110754</v>
      </c>
      <c r="G22" s="103">
        <f>'BASE - Pre CV-19'!O50</f>
        <v>116291.7</v>
      </c>
      <c r="I22" s="196">
        <f>D22</f>
        <v>105480</v>
      </c>
      <c r="J22" s="197">
        <f t="shared" ref="J22:L22" si="12">E22</f>
        <v>110754</v>
      </c>
      <c r="K22" s="197">
        <f t="shared" si="12"/>
        <v>110754</v>
      </c>
      <c r="L22" s="198">
        <f t="shared" si="12"/>
        <v>116291.7</v>
      </c>
      <c r="M22" s="138"/>
      <c r="N22" s="196">
        <f>D23</f>
        <v>112410</v>
      </c>
      <c r="O22" s="197">
        <f t="shared" ref="O22:Q22" si="13">E23</f>
        <v>114568</v>
      </c>
      <c r="P22" s="197">
        <f t="shared" si="13"/>
        <v>120296</v>
      </c>
      <c r="Q22" s="198">
        <f t="shared" si="13"/>
        <v>116291.7</v>
      </c>
      <c r="R22" s="138"/>
      <c r="S22" s="196">
        <f>N22-I22</f>
        <v>6930</v>
      </c>
      <c r="T22" s="197">
        <f t="shared" ref="T22:V22" si="14">O22-J22</f>
        <v>3814</v>
      </c>
      <c r="U22" s="197">
        <f t="shared" si="14"/>
        <v>9542</v>
      </c>
      <c r="V22" s="227">
        <f t="shared" si="14"/>
        <v>0</v>
      </c>
      <c r="W22" s="234"/>
    </row>
    <row r="23" spans="2:23" ht="12.75" customHeight="1" x14ac:dyDescent="0.35">
      <c r="C23" s="100" t="s">
        <v>224</v>
      </c>
      <c r="D23" s="105">
        <v>112410</v>
      </c>
      <c r="E23" s="105">
        <v>114568</v>
      </c>
      <c r="F23" s="105">
        <v>120296</v>
      </c>
      <c r="G23" s="105">
        <f>G22</f>
        <v>116291.7</v>
      </c>
      <c r="I23" s="216"/>
      <c r="J23" s="217"/>
      <c r="K23" s="217"/>
      <c r="L23" s="218"/>
      <c r="M23" s="138"/>
      <c r="N23" s="216"/>
      <c r="O23" s="217"/>
      <c r="P23" s="217"/>
      <c r="Q23" s="218"/>
      <c r="R23" s="138"/>
      <c r="S23" s="216"/>
      <c r="T23" s="217"/>
      <c r="U23" s="217"/>
      <c r="V23" s="229"/>
      <c r="W23" s="234"/>
    </row>
    <row r="24" spans="2:23" ht="12.75" customHeight="1" thickBot="1" x14ac:dyDescent="0.4">
      <c r="B24" s="6" t="s">
        <v>36</v>
      </c>
      <c r="C24" s="85"/>
      <c r="D24" s="103">
        <f>D22+D19</f>
        <v>561495.76745454548</v>
      </c>
      <c r="E24" s="103">
        <f>E22+E19</f>
        <v>589570.55582727282</v>
      </c>
      <c r="F24" s="103">
        <f>F22+F19</f>
        <v>613511.38361863652</v>
      </c>
      <c r="G24" s="103">
        <f>G22+G19</f>
        <v>617813.61069263984</v>
      </c>
      <c r="I24" s="196">
        <f>D24</f>
        <v>561495.76745454548</v>
      </c>
      <c r="J24" s="197">
        <f t="shared" ref="J24:L24" si="15">E24</f>
        <v>589570.55582727282</v>
      </c>
      <c r="K24" s="197">
        <f t="shared" si="15"/>
        <v>613511.38361863652</v>
      </c>
      <c r="L24" s="198">
        <f t="shared" si="15"/>
        <v>617813.61069263984</v>
      </c>
      <c r="M24" s="138"/>
      <c r="N24" s="196">
        <f>D25</f>
        <v>563751</v>
      </c>
      <c r="O24" s="197">
        <f t="shared" ref="O24:Q24" si="16">E25</f>
        <v>590847</v>
      </c>
      <c r="P24" s="197">
        <f t="shared" si="16"/>
        <v>614923.60000000009</v>
      </c>
      <c r="Q24" s="198">
        <f t="shared" si="16"/>
        <v>617813.61069263984</v>
      </c>
      <c r="R24" s="138"/>
      <c r="S24" s="196">
        <f>N24-I24</f>
        <v>2255.2325454545207</v>
      </c>
      <c r="T24" s="197">
        <f t="shared" ref="T24:V24" si="17">O24-J24</f>
        <v>1276.4441727271769</v>
      </c>
      <c r="U24" s="197">
        <f t="shared" si="17"/>
        <v>1412.2163813635707</v>
      </c>
      <c r="V24" s="227">
        <f t="shared" si="17"/>
        <v>0</v>
      </c>
      <c r="W24" s="234" t="s">
        <v>299</v>
      </c>
    </row>
    <row r="25" spans="2:23" ht="12.75" customHeight="1" thickTop="1" x14ac:dyDescent="0.35">
      <c r="C25" s="100" t="s">
        <v>224</v>
      </c>
      <c r="D25" s="105">
        <f>D23+D20</f>
        <v>563751</v>
      </c>
      <c r="E25" s="105">
        <f>E23+E20</f>
        <v>590847</v>
      </c>
      <c r="F25" s="105">
        <f>F23+F20</f>
        <v>614923.60000000009</v>
      </c>
      <c r="G25" s="105">
        <f>G23+G20</f>
        <v>617813.61069263984</v>
      </c>
      <c r="I25" s="216"/>
      <c r="J25" s="217"/>
      <c r="K25" s="217"/>
      <c r="L25" s="218"/>
      <c r="M25" s="138"/>
      <c r="N25" s="216"/>
      <c r="O25" s="217"/>
      <c r="P25" s="217"/>
      <c r="Q25" s="218"/>
      <c r="R25" s="138"/>
      <c r="S25" s="216"/>
      <c r="T25" s="217"/>
      <c r="U25" s="217"/>
      <c r="V25" s="229"/>
      <c r="W25" s="234"/>
    </row>
    <row r="26" spans="2:23" ht="12.75" customHeight="1" x14ac:dyDescent="0.35">
      <c r="B26" s="3" t="s">
        <v>37</v>
      </c>
      <c r="D26" s="106"/>
      <c r="E26" s="107"/>
      <c r="F26" s="108"/>
      <c r="I26" s="222"/>
      <c r="J26" s="223"/>
      <c r="K26" s="223"/>
      <c r="L26" s="224"/>
      <c r="M26" s="138"/>
      <c r="N26" s="222"/>
      <c r="O26" s="223"/>
      <c r="P26" s="223"/>
      <c r="Q26" s="224"/>
      <c r="R26" s="138"/>
      <c r="S26" s="222"/>
      <c r="T26" s="223"/>
      <c r="U26" s="223"/>
      <c r="V26" s="231"/>
      <c r="W26" s="234"/>
    </row>
    <row r="27" spans="2:23" ht="12.75" customHeight="1" x14ac:dyDescent="0.35">
      <c r="B27" s="1" t="s">
        <v>38</v>
      </c>
      <c r="C27" s="80"/>
      <c r="D27" s="101">
        <v>6300</v>
      </c>
      <c r="E27" s="109">
        <v>7000</v>
      </c>
      <c r="F27" s="101">
        <v>7500</v>
      </c>
      <c r="G27" s="32"/>
      <c r="I27" s="219"/>
      <c r="J27" s="220"/>
      <c r="K27" s="220"/>
      <c r="L27" s="221"/>
      <c r="M27" s="138"/>
      <c r="N27" s="219"/>
      <c r="O27" s="220"/>
      <c r="P27" s="220"/>
      <c r="Q27" s="221"/>
      <c r="R27" s="138"/>
      <c r="S27" s="219"/>
      <c r="T27" s="220"/>
      <c r="U27" s="220"/>
      <c r="V27" s="230"/>
      <c r="W27" s="234"/>
    </row>
    <row r="28" spans="2:23" ht="12.75" customHeight="1" x14ac:dyDescent="0.35">
      <c r="B28" s="5" t="s">
        <v>41</v>
      </c>
      <c r="C28" s="83"/>
      <c r="D28" s="103">
        <v>6300</v>
      </c>
      <c r="E28" s="103">
        <v>7000</v>
      </c>
      <c r="F28" s="103">
        <v>7500</v>
      </c>
      <c r="G28" s="103">
        <f>'BASE - Pre CV-19'!O58</f>
        <v>7650</v>
      </c>
      <c r="I28" s="196">
        <f>D28</f>
        <v>6300</v>
      </c>
      <c r="J28" s="197">
        <f t="shared" ref="J28:L28" si="18">E28</f>
        <v>7000</v>
      </c>
      <c r="K28" s="197">
        <f t="shared" si="18"/>
        <v>7500</v>
      </c>
      <c r="L28" s="198">
        <f t="shared" si="18"/>
        <v>7650</v>
      </c>
      <c r="M28" s="138"/>
      <c r="N28" s="196">
        <f>D29</f>
        <v>10856</v>
      </c>
      <c r="O28" s="197">
        <f t="shared" ref="O28:Q28" si="19">E29</f>
        <v>7000</v>
      </c>
      <c r="P28" s="197">
        <f t="shared" si="19"/>
        <v>7500</v>
      </c>
      <c r="Q28" s="198">
        <f t="shared" si="19"/>
        <v>7650</v>
      </c>
      <c r="R28" s="138"/>
      <c r="S28" s="196">
        <f>N28-I28</f>
        <v>4556</v>
      </c>
      <c r="T28" s="197">
        <f t="shared" ref="T28:V28" si="20">O28-J28</f>
        <v>0</v>
      </c>
      <c r="U28" s="197">
        <f t="shared" si="20"/>
        <v>0</v>
      </c>
      <c r="V28" s="227">
        <f t="shared" si="20"/>
        <v>0</v>
      </c>
      <c r="W28" s="234"/>
    </row>
    <row r="29" spans="2:23" ht="12.75" customHeight="1" x14ac:dyDescent="0.35">
      <c r="C29" s="100" t="s">
        <v>224</v>
      </c>
      <c r="D29" s="105">
        <v>10856</v>
      </c>
      <c r="E29" s="105">
        <v>7000</v>
      </c>
      <c r="F29" s="105">
        <v>7500</v>
      </c>
      <c r="G29" s="105">
        <f>G28</f>
        <v>7650</v>
      </c>
      <c r="I29" s="216"/>
      <c r="J29" s="217"/>
      <c r="K29" s="217"/>
      <c r="L29" s="218"/>
      <c r="M29" s="138"/>
      <c r="N29" s="216"/>
      <c r="O29" s="217"/>
      <c r="P29" s="217"/>
      <c r="Q29" s="218"/>
      <c r="R29" s="138"/>
      <c r="S29" s="216"/>
      <c r="T29" s="217"/>
      <c r="U29" s="217"/>
      <c r="V29" s="229"/>
      <c r="W29" s="234"/>
    </row>
    <row r="30" spans="2:23" ht="12.75" customHeight="1" x14ac:dyDescent="0.35">
      <c r="B30" s="3" t="s">
        <v>42</v>
      </c>
      <c r="C30" s="84"/>
      <c r="D30" s="106"/>
      <c r="E30" s="107"/>
      <c r="F30" s="108"/>
      <c r="I30" s="222"/>
      <c r="J30" s="223"/>
      <c r="K30" s="223"/>
      <c r="L30" s="224"/>
      <c r="M30" s="138"/>
      <c r="N30" s="222"/>
      <c r="O30" s="223"/>
      <c r="P30" s="223"/>
      <c r="Q30" s="224"/>
      <c r="R30" s="138"/>
      <c r="S30" s="222"/>
      <c r="T30" s="223"/>
      <c r="U30" s="223"/>
      <c r="V30" s="231"/>
      <c r="W30" s="234"/>
    </row>
    <row r="31" spans="2:23" ht="12.75" customHeight="1" x14ac:dyDescent="0.35">
      <c r="B31" s="1" t="s">
        <v>44</v>
      </c>
      <c r="C31" s="83"/>
      <c r="D31" s="103">
        <v>34000</v>
      </c>
      <c r="E31" s="103">
        <v>35000</v>
      </c>
      <c r="F31" s="103">
        <v>36000</v>
      </c>
      <c r="G31" s="103">
        <f>'BASE - Pre CV-19'!O64</f>
        <v>38000</v>
      </c>
      <c r="I31" s="196">
        <f>D31</f>
        <v>34000</v>
      </c>
      <c r="J31" s="197">
        <f t="shared" ref="J31:L31" si="21">E31</f>
        <v>35000</v>
      </c>
      <c r="K31" s="197">
        <f t="shared" si="21"/>
        <v>36000</v>
      </c>
      <c r="L31" s="198">
        <f t="shared" si="21"/>
        <v>38000</v>
      </c>
      <c r="M31" s="138"/>
      <c r="N31" s="196">
        <f>D32</f>
        <v>0</v>
      </c>
      <c r="O31" s="197">
        <f t="shared" ref="O31:Q31" si="22">E32</f>
        <v>35000</v>
      </c>
      <c r="P31" s="197">
        <f t="shared" si="22"/>
        <v>36000</v>
      </c>
      <c r="Q31" s="198">
        <f t="shared" si="22"/>
        <v>38000</v>
      </c>
      <c r="R31" s="138"/>
      <c r="S31" s="196">
        <f>N31-I31</f>
        <v>-34000</v>
      </c>
      <c r="T31" s="197">
        <f t="shared" ref="T31:V31" si="23">O31-J31</f>
        <v>0</v>
      </c>
      <c r="U31" s="197">
        <f t="shared" si="23"/>
        <v>0</v>
      </c>
      <c r="V31" s="227">
        <f t="shared" si="23"/>
        <v>0</v>
      </c>
      <c r="W31" s="234"/>
    </row>
    <row r="32" spans="2:23" ht="12.75" customHeight="1" x14ac:dyDescent="0.35">
      <c r="B32" s="290"/>
      <c r="C32" s="100" t="s">
        <v>224</v>
      </c>
      <c r="D32" s="113">
        <v>0</v>
      </c>
      <c r="E32" s="113">
        <v>35000</v>
      </c>
      <c r="F32" s="113">
        <v>36000</v>
      </c>
      <c r="G32" s="105">
        <f>G31</f>
        <v>38000</v>
      </c>
      <c r="I32" s="216"/>
      <c r="J32" s="217"/>
      <c r="K32" s="217"/>
      <c r="L32" s="218"/>
      <c r="M32" s="138"/>
      <c r="N32" s="216"/>
      <c r="O32" s="217"/>
      <c r="P32" s="217"/>
      <c r="Q32" s="218"/>
      <c r="R32" s="138"/>
      <c r="S32" s="216"/>
      <c r="T32" s="217"/>
      <c r="U32" s="217"/>
      <c r="V32" s="229"/>
      <c r="W32" s="234"/>
    </row>
    <row r="33" spans="2:23" ht="12.75" customHeight="1" x14ac:dyDescent="0.35">
      <c r="B33" s="1" t="s">
        <v>47</v>
      </c>
      <c r="C33" s="83"/>
      <c r="D33" s="103">
        <v>97416.709999999992</v>
      </c>
      <c r="E33" s="103">
        <v>0</v>
      </c>
      <c r="F33" s="103">
        <v>103000</v>
      </c>
      <c r="G33" s="103">
        <f>'BASE - Pre CV-19'!O69</f>
        <v>0</v>
      </c>
      <c r="I33" s="196">
        <f>D33</f>
        <v>97416.709999999992</v>
      </c>
      <c r="J33" s="197">
        <f t="shared" ref="J33:L33" si="24">E33</f>
        <v>0</v>
      </c>
      <c r="K33" s="197">
        <f t="shared" si="24"/>
        <v>103000</v>
      </c>
      <c r="L33" s="198">
        <f t="shared" si="24"/>
        <v>0</v>
      </c>
      <c r="M33" s="138"/>
      <c r="N33" s="196">
        <f>D34</f>
        <v>68880</v>
      </c>
      <c r="O33" s="197">
        <f t="shared" ref="O33:Q33" si="25">E34</f>
        <v>0</v>
      </c>
      <c r="P33" s="197">
        <f t="shared" si="25"/>
        <v>103000</v>
      </c>
      <c r="Q33" s="198">
        <f t="shared" si="25"/>
        <v>0</v>
      </c>
      <c r="R33" s="138"/>
      <c r="S33" s="196">
        <f>N33-I33</f>
        <v>-28536.709999999992</v>
      </c>
      <c r="T33" s="197">
        <f t="shared" ref="T33:V33" si="26">O33-J33</f>
        <v>0</v>
      </c>
      <c r="U33" s="197">
        <f t="shared" si="26"/>
        <v>0</v>
      </c>
      <c r="V33" s="227">
        <f t="shared" si="26"/>
        <v>0</v>
      </c>
      <c r="W33" s="234"/>
    </row>
    <row r="34" spans="2:23" ht="12.75" customHeight="1" x14ac:dyDescent="0.35">
      <c r="B34" s="290"/>
      <c r="C34" s="100" t="s">
        <v>224</v>
      </c>
      <c r="D34" s="113">
        <v>68880</v>
      </c>
      <c r="E34" s="113"/>
      <c r="F34" s="113">
        <v>103000</v>
      </c>
      <c r="G34" s="105">
        <f>G33</f>
        <v>0</v>
      </c>
      <c r="I34" s="216"/>
      <c r="J34" s="217"/>
      <c r="K34" s="217"/>
      <c r="L34" s="218"/>
      <c r="M34" s="138"/>
      <c r="N34" s="216"/>
      <c r="O34" s="217"/>
      <c r="P34" s="217"/>
      <c r="Q34" s="218"/>
      <c r="R34" s="138"/>
      <c r="S34" s="216"/>
      <c r="T34" s="217"/>
      <c r="U34" s="217"/>
      <c r="V34" s="229"/>
      <c r="W34" s="234"/>
    </row>
    <row r="35" spans="2:23" ht="12.75" customHeight="1" x14ac:dyDescent="0.35">
      <c r="B35" s="1" t="s">
        <v>51</v>
      </c>
      <c r="C35" s="83"/>
      <c r="D35" s="103">
        <v>0</v>
      </c>
      <c r="E35" s="103">
        <v>127810.85</v>
      </c>
      <c r="F35" s="103"/>
      <c r="G35" s="103">
        <f>'BASE - Pre CV-19'!O74</f>
        <v>133576.39250000002</v>
      </c>
      <c r="I35" s="196">
        <f>D35</f>
        <v>0</v>
      </c>
      <c r="J35" s="197">
        <f t="shared" ref="J35:L35" si="27">E35</f>
        <v>127810.85</v>
      </c>
      <c r="K35" s="197">
        <f t="shared" si="27"/>
        <v>0</v>
      </c>
      <c r="L35" s="198">
        <f t="shared" si="27"/>
        <v>133576.39250000002</v>
      </c>
      <c r="M35" s="138"/>
      <c r="N35" s="196">
        <f>D36</f>
        <v>0</v>
      </c>
      <c r="O35" s="197">
        <f t="shared" ref="O35:Q35" si="28">E36</f>
        <v>127811</v>
      </c>
      <c r="P35" s="197">
        <f t="shared" si="28"/>
        <v>0</v>
      </c>
      <c r="Q35" s="198">
        <f t="shared" si="28"/>
        <v>133576.39250000002</v>
      </c>
      <c r="R35" s="138"/>
      <c r="S35" s="196">
        <f>N35-I35</f>
        <v>0</v>
      </c>
      <c r="T35" s="197">
        <f t="shared" ref="T35:V35" si="29">O35-J35</f>
        <v>0.14999999999417923</v>
      </c>
      <c r="U35" s="197">
        <f t="shared" si="29"/>
        <v>0</v>
      </c>
      <c r="V35" s="227">
        <f t="shared" si="29"/>
        <v>0</v>
      </c>
      <c r="W35" s="234"/>
    </row>
    <row r="36" spans="2:23" ht="12.75" customHeight="1" x14ac:dyDescent="0.35">
      <c r="B36" s="290"/>
      <c r="C36" s="100" t="s">
        <v>224</v>
      </c>
      <c r="D36" s="113">
        <v>0</v>
      </c>
      <c r="E36" s="113">
        <v>127811</v>
      </c>
      <c r="F36" s="113"/>
      <c r="G36" s="105">
        <f>G35</f>
        <v>133576.39250000002</v>
      </c>
      <c r="I36" s="216"/>
      <c r="J36" s="217"/>
      <c r="K36" s="217"/>
      <c r="L36" s="218"/>
      <c r="M36" s="138"/>
      <c r="N36" s="216"/>
      <c r="O36" s="217"/>
      <c r="P36" s="217"/>
      <c r="Q36" s="218"/>
      <c r="R36" s="138"/>
      <c r="S36" s="216"/>
      <c r="T36" s="217"/>
      <c r="U36" s="217"/>
      <c r="V36" s="229"/>
      <c r="W36" s="234"/>
    </row>
    <row r="37" spans="2:23" ht="12.75" customHeight="1" x14ac:dyDescent="0.35">
      <c r="B37" s="1" t="s">
        <v>55</v>
      </c>
      <c r="C37" s="83"/>
      <c r="D37" s="103">
        <v>0</v>
      </c>
      <c r="E37" s="103">
        <v>201960</v>
      </c>
      <c r="F37" s="103">
        <v>0</v>
      </c>
      <c r="G37" s="103">
        <f>'BASE - Pre CV-19'!O79</f>
        <v>208508.40000000002</v>
      </c>
      <c r="I37" s="196">
        <f>D37</f>
        <v>0</v>
      </c>
      <c r="J37" s="197">
        <f t="shared" ref="J37:L37" si="30">E37</f>
        <v>201960</v>
      </c>
      <c r="K37" s="197">
        <f t="shared" si="30"/>
        <v>0</v>
      </c>
      <c r="L37" s="198">
        <f t="shared" si="30"/>
        <v>208508.40000000002</v>
      </c>
      <c r="M37" s="138"/>
      <c r="N37" s="196">
        <f>D38</f>
        <v>0</v>
      </c>
      <c r="O37" s="197">
        <f t="shared" ref="O37:Q37" si="31">E38</f>
        <v>201960</v>
      </c>
      <c r="P37" s="197">
        <f t="shared" si="31"/>
        <v>0</v>
      </c>
      <c r="Q37" s="198">
        <f t="shared" si="31"/>
        <v>208508.40000000002</v>
      </c>
      <c r="R37" s="138"/>
      <c r="S37" s="196">
        <f>N37-I37</f>
        <v>0</v>
      </c>
      <c r="T37" s="197">
        <f t="shared" ref="T37:V37" si="32">O37-J37</f>
        <v>0</v>
      </c>
      <c r="U37" s="197">
        <f t="shared" si="32"/>
        <v>0</v>
      </c>
      <c r="V37" s="227">
        <f t="shared" si="32"/>
        <v>0</v>
      </c>
      <c r="W37" s="234"/>
    </row>
    <row r="38" spans="2:23" ht="12.75" customHeight="1" x14ac:dyDescent="0.35">
      <c r="B38" s="290"/>
      <c r="C38" s="100" t="s">
        <v>224</v>
      </c>
      <c r="D38" s="113"/>
      <c r="E38" s="113">
        <v>201960</v>
      </c>
      <c r="F38" s="113"/>
      <c r="G38" s="105">
        <f>G37</f>
        <v>208508.40000000002</v>
      </c>
      <c r="I38" s="216"/>
      <c r="J38" s="217"/>
      <c r="K38" s="217"/>
      <c r="L38" s="218"/>
      <c r="M38" s="138"/>
      <c r="N38" s="216"/>
      <c r="O38" s="217"/>
      <c r="P38" s="217"/>
      <c r="Q38" s="218"/>
      <c r="R38" s="138"/>
      <c r="S38" s="216"/>
      <c r="T38" s="217"/>
      <c r="U38" s="217"/>
      <c r="V38" s="229"/>
      <c r="W38" s="234"/>
    </row>
    <row r="39" spans="2:23" ht="12.75" customHeight="1" x14ac:dyDescent="0.35">
      <c r="B39" s="1" t="s">
        <v>59</v>
      </c>
      <c r="C39" s="83"/>
      <c r="D39" s="103">
        <v>135000</v>
      </c>
      <c r="E39" s="103">
        <v>0</v>
      </c>
      <c r="F39" s="103">
        <v>5000</v>
      </c>
      <c r="G39" s="103">
        <f>'BASE - Pre CV-19'!O84</f>
        <v>5000</v>
      </c>
      <c r="I39" s="196">
        <f>D39</f>
        <v>135000</v>
      </c>
      <c r="J39" s="197">
        <f t="shared" ref="J39:L39" si="33">E39</f>
        <v>0</v>
      </c>
      <c r="K39" s="197">
        <f t="shared" si="33"/>
        <v>5000</v>
      </c>
      <c r="L39" s="198">
        <f t="shared" si="33"/>
        <v>5000</v>
      </c>
      <c r="M39" s="138"/>
      <c r="N39" s="196">
        <f>D40</f>
        <v>114827</v>
      </c>
      <c r="O39" s="197">
        <f t="shared" ref="O39:Q39" si="34">E40</f>
        <v>0</v>
      </c>
      <c r="P39" s="197">
        <f t="shared" si="34"/>
        <v>5000</v>
      </c>
      <c r="Q39" s="198">
        <f t="shared" si="34"/>
        <v>5000</v>
      </c>
      <c r="R39" s="138"/>
      <c r="S39" s="196">
        <f>N39-I39</f>
        <v>-20173</v>
      </c>
      <c r="T39" s="197">
        <f t="shared" ref="T39:V39" si="35">O39-J39</f>
        <v>0</v>
      </c>
      <c r="U39" s="197">
        <f t="shared" si="35"/>
        <v>0</v>
      </c>
      <c r="V39" s="227">
        <f t="shared" si="35"/>
        <v>0</v>
      </c>
      <c r="W39" s="234"/>
    </row>
    <row r="40" spans="2:23" ht="12.75" customHeight="1" x14ac:dyDescent="0.35">
      <c r="B40" s="98"/>
      <c r="C40" s="100" t="s">
        <v>224</v>
      </c>
      <c r="D40" s="113">
        <v>114827</v>
      </c>
      <c r="E40" s="113"/>
      <c r="F40" s="113">
        <v>5000</v>
      </c>
      <c r="G40" s="105">
        <f>G39</f>
        <v>5000</v>
      </c>
      <c r="I40" s="196"/>
      <c r="J40" s="197"/>
      <c r="K40" s="197"/>
      <c r="L40" s="198"/>
      <c r="M40" s="138"/>
      <c r="N40" s="196"/>
      <c r="O40" s="197"/>
      <c r="P40" s="197"/>
      <c r="Q40" s="198"/>
      <c r="R40" s="138"/>
      <c r="S40" s="196"/>
      <c r="T40" s="197"/>
      <c r="U40" s="197"/>
      <c r="V40" s="227"/>
      <c r="W40" s="234"/>
    </row>
    <row r="41" spans="2:23" ht="12.75" customHeight="1" x14ac:dyDescent="0.35">
      <c r="C41" s="84"/>
      <c r="D41" s="106"/>
      <c r="E41" s="107"/>
      <c r="F41" s="108"/>
      <c r="I41" s="196"/>
      <c r="J41" s="197"/>
      <c r="K41" s="197"/>
      <c r="L41" s="198"/>
      <c r="M41" s="138"/>
      <c r="N41" s="196"/>
      <c r="O41" s="197"/>
      <c r="P41" s="197"/>
      <c r="Q41" s="198"/>
      <c r="R41" s="138"/>
      <c r="S41" s="196"/>
      <c r="T41" s="197"/>
      <c r="U41" s="197"/>
      <c r="V41" s="227"/>
      <c r="W41" s="234"/>
    </row>
    <row r="42" spans="2:23" ht="29.65" customHeight="1" thickBot="1" x14ac:dyDescent="0.4">
      <c r="B42" s="6" t="s">
        <v>62</v>
      </c>
      <c r="C42" s="85"/>
      <c r="D42" s="116">
        <f>D39+D37+D35+D33+D31</f>
        <v>266416.70999999996</v>
      </c>
      <c r="E42" s="116">
        <f>E39+E37+E35+E33+E31</f>
        <v>364770.85</v>
      </c>
      <c r="F42" s="116">
        <f>F39+F37+F35+F33+F31</f>
        <v>144000</v>
      </c>
      <c r="G42" s="103">
        <f>'BASE - Pre CV-19'!O86</f>
        <v>385084.79250000004</v>
      </c>
      <c r="I42" s="196">
        <f>D42</f>
        <v>266416.70999999996</v>
      </c>
      <c r="J42" s="197">
        <f t="shared" ref="J42:L42" si="36">E42</f>
        <v>364770.85</v>
      </c>
      <c r="K42" s="197">
        <f t="shared" si="36"/>
        <v>144000</v>
      </c>
      <c r="L42" s="198">
        <f t="shared" si="36"/>
        <v>385084.79250000004</v>
      </c>
      <c r="M42" s="138"/>
      <c r="N42" s="196">
        <f>D43</f>
        <v>183707</v>
      </c>
      <c r="O42" s="197">
        <f t="shared" ref="O42:Q42" si="37">E43</f>
        <v>364771</v>
      </c>
      <c r="P42" s="197">
        <f t="shared" si="37"/>
        <v>144000</v>
      </c>
      <c r="Q42" s="198">
        <f t="shared" si="37"/>
        <v>385084.79250000004</v>
      </c>
      <c r="R42" s="138"/>
      <c r="S42" s="196">
        <f>N42-I42</f>
        <v>-82709.709999999963</v>
      </c>
      <c r="T42" s="197">
        <f t="shared" ref="T42:V42" si="38">O42-J42</f>
        <v>0.15000000002328306</v>
      </c>
      <c r="U42" s="197">
        <f t="shared" si="38"/>
        <v>0</v>
      </c>
      <c r="V42" s="227">
        <f t="shared" si="38"/>
        <v>0</v>
      </c>
      <c r="W42" s="237" t="s">
        <v>314</v>
      </c>
    </row>
    <row r="43" spans="2:23" ht="12.75" customHeight="1" thickTop="1" x14ac:dyDescent="0.35">
      <c r="B43" s="98"/>
      <c r="C43" s="100" t="s">
        <v>224</v>
      </c>
      <c r="D43" s="113">
        <f>D40+D38+D36+D34+D32</f>
        <v>183707</v>
      </c>
      <c r="E43" s="113">
        <f>E40+E38+E36+E34+E32</f>
        <v>364771</v>
      </c>
      <c r="F43" s="113">
        <f>F40+F38+F36+F34+F32</f>
        <v>144000</v>
      </c>
      <c r="G43" s="105">
        <f>G42</f>
        <v>385084.79250000004</v>
      </c>
      <c r="I43" s="216"/>
      <c r="J43" s="217"/>
      <c r="K43" s="217"/>
      <c r="L43" s="218"/>
      <c r="M43" s="138"/>
      <c r="N43" s="216"/>
      <c r="O43" s="217"/>
      <c r="P43" s="217"/>
      <c r="Q43" s="218"/>
      <c r="R43" s="138"/>
      <c r="S43" s="216"/>
      <c r="T43" s="217"/>
      <c r="U43" s="217"/>
      <c r="V43" s="229"/>
      <c r="W43" s="234"/>
    </row>
    <row r="44" spans="2:23" ht="12.75" customHeight="1" x14ac:dyDescent="0.35">
      <c r="C44" s="84"/>
      <c r="D44" s="106"/>
      <c r="E44" s="107"/>
      <c r="F44" s="108"/>
      <c r="I44" s="219"/>
      <c r="J44" s="220"/>
      <c r="K44" s="220"/>
      <c r="L44" s="221"/>
      <c r="M44" s="138"/>
      <c r="N44" s="219"/>
      <c r="O44" s="220"/>
      <c r="P44" s="220"/>
      <c r="Q44" s="221"/>
      <c r="R44" s="138"/>
      <c r="S44" s="219"/>
      <c r="T44" s="220"/>
      <c r="U44" s="220"/>
      <c r="V44" s="230"/>
      <c r="W44" s="234"/>
    </row>
    <row r="45" spans="2:23" ht="12.75" customHeight="1" thickBot="1" x14ac:dyDescent="0.4">
      <c r="B45" s="6" t="s">
        <v>63</v>
      </c>
      <c r="C45" s="85"/>
      <c r="D45" s="103">
        <f>D42+D28+D24+D12</f>
        <v>879912.47745454544</v>
      </c>
      <c r="E45" s="103">
        <f>E42+E28+E24+E12</f>
        <v>998041.4058272728</v>
      </c>
      <c r="F45" s="103">
        <f>F42+F28+F24+F12</f>
        <v>801711.38361863652</v>
      </c>
      <c r="G45" s="103">
        <f>G42+G28+G24+G12</f>
        <v>1034248.4031926398</v>
      </c>
      <c r="H45" s="106"/>
      <c r="I45" s="196">
        <f>D45</f>
        <v>879912.47745454544</v>
      </c>
      <c r="J45" s="197">
        <f t="shared" ref="J45:L45" si="39">E45</f>
        <v>998041.4058272728</v>
      </c>
      <c r="K45" s="197">
        <f t="shared" si="39"/>
        <v>801711.38361863652</v>
      </c>
      <c r="L45" s="198">
        <f t="shared" si="39"/>
        <v>1034248.4031926398</v>
      </c>
      <c r="M45" s="138"/>
      <c r="N45" s="196">
        <f>D46</f>
        <v>792298</v>
      </c>
      <c r="O45" s="197">
        <f t="shared" ref="O45:Q45" si="40">E46</f>
        <v>990118</v>
      </c>
      <c r="P45" s="197">
        <f t="shared" si="40"/>
        <v>793923.60000000009</v>
      </c>
      <c r="Q45" s="198">
        <f t="shared" si="40"/>
        <v>1034248.4031926398</v>
      </c>
      <c r="R45" s="138"/>
      <c r="S45" s="196">
        <f>N45-I45</f>
        <v>-87614.477454545442</v>
      </c>
      <c r="T45" s="197">
        <f t="shared" ref="T45:V45" si="41">O45-J45</f>
        <v>-7923.4058272727998</v>
      </c>
      <c r="U45" s="197">
        <f t="shared" si="41"/>
        <v>-7787.7836186364293</v>
      </c>
      <c r="V45" s="227">
        <f t="shared" si="41"/>
        <v>0</v>
      </c>
      <c r="W45" s="234"/>
    </row>
    <row r="46" spans="2:23" ht="12.75" customHeight="1" thickTop="1" x14ac:dyDescent="0.35">
      <c r="B46" s="98"/>
      <c r="C46" s="100" t="s">
        <v>224</v>
      </c>
      <c r="D46" s="113">
        <f>D43+D29+D25+D13</f>
        <v>792298</v>
      </c>
      <c r="E46" s="113">
        <f>E43+E29+E25+E13</f>
        <v>990118</v>
      </c>
      <c r="F46" s="113">
        <f>F43+F29+F25+F13</f>
        <v>793923.60000000009</v>
      </c>
      <c r="G46" s="113">
        <f>G43+G29+G25+G13</f>
        <v>1034248.4031926398</v>
      </c>
      <c r="I46" s="216"/>
      <c r="J46" s="217"/>
      <c r="K46" s="217"/>
      <c r="L46" s="218"/>
      <c r="M46" s="138"/>
      <c r="N46" s="216"/>
      <c r="O46" s="217"/>
      <c r="P46" s="217"/>
      <c r="Q46" s="218"/>
      <c r="R46" s="138"/>
      <c r="S46" s="216"/>
      <c r="T46" s="217"/>
      <c r="U46" s="217"/>
      <c r="V46" s="229"/>
      <c r="W46" s="234"/>
    </row>
    <row r="47" spans="2:23" ht="12.75" customHeight="1" x14ac:dyDescent="0.35">
      <c r="B47" s="98"/>
      <c r="C47" s="99"/>
      <c r="D47" s="115"/>
      <c r="E47" s="115"/>
      <c r="F47" s="116"/>
      <c r="I47" s="222"/>
      <c r="J47" s="223"/>
      <c r="K47" s="223"/>
      <c r="L47" s="224"/>
      <c r="M47" s="138"/>
      <c r="N47" s="222"/>
      <c r="O47" s="223"/>
      <c r="P47" s="223"/>
      <c r="Q47" s="224"/>
      <c r="R47" s="138"/>
      <c r="S47" s="222"/>
      <c r="T47" s="223"/>
      <c r="U47" s="223"/>
      <c r="V47" s="231"/>
      <c r="W47" s="234"/>
    </row>
    <row r="48" spans="2:23" ht="12.75" customHeight="1" x14ac:dyDescent="0.35">
      <c r="B48" s="3" t="s">
        <v>65</v>
      </c>
      <c r="D48" s="106"/>
      <c r="E48" s="107"/>
      <c r="F48" s="108"/>
      <c r="I48" s="222"/>
      <c r="J48" s="223"/>
      <c r="K48" s="223"/>
      <c r="L48" s="224"/>
      <c r="M48" s="138"/>
      <c r="N48" s="222"/>
      <c r="O48" s="223"/>
      <c r="P48" s="223"/>
      <c r="Q48" s="224"/>
      <c r="R48" s="138"/>
      <c r="S48" s="222"/>
      <c r="T48" s="223"/>
      <c r="U48" s="223"/>
      <c r="V48" s="231"/>
      <c r="W48" s="234"/>
    </row>
    <row r="49" spans="2:23" ht="12.75" customHeight="1" x14ac:dyDescent="0.35">
      <c r="B49" s="3"/>
      <c r="D49" s="106"/>
      <c r="E49" s="107"/>
      <c r="F49" s="108"/>
      <c r="I49" s="222"/>
      <c r="J49" s="223"/>
      <c r="K49" s="223"/>
      <c r="L49" s="224"/>
      <c r="M49" s="138"/>
      <c r="N49" s="222"/>
      <c r="O49" s="223"/>
      <c r="P49" s="223"/>
      <c r="Q49" s="224"/>
      <c r="R49" s="138"/>
      <c r="S49" s="222"/>
      <c r="T49" s="223"/>
      <c r="U49" s="223"/>
      <c r="V49" s="231"/>
      <c r="W49" s="234"/>
    </row>
    <row r="50" spans="2:23" ht="12.75" customHeight="1" x14ac:dyDescent="0.35">
      <c r="B50" t="s">
        <v>226</v>
      </c>
      <c r="D50" s="105">
        <v>97066</v>
      </c>
      <c r="E50" s="107"/>
      <c r="F50" s="108"/>
      <c r="I50" s="219"/>
      <c r="J50" s="220"/>
      <c r="K50" s="220"/>
      <c r="L50" s="221"/>
      <c r="M50" s="138"/>
      <c r="N50" s="219"/>
      <c r="O50" s="220"/>
      <c r="P50" s="220"/>
      <c r="Q50" s="221"/>
      <c r="R50" s="138"/>
      <c r="S50" s="219"/>
      <c r="T50" s="220"/>
      <c r="U50" s="220"/>
      <c r="V50" s="230"/>
      <c r="W50" s="234"/>
    </row>
    <row r="51" spans="2:23" ht="12.75" customHeight="1" x14ac:dyDescent="0.35">
      <c r="B51" s="3" t="s">
        <v>225</v>
      </c>
      <c r="D51" s="103">
        <v>66700</v>
      </c>
      <c r="E51" s="103">
        <v>65834</v>
      </c>
      <c r="F51" s="103">
        <v>68990</v>
      </c>
      <c r="G51" s="103">
        <f>'BASE - Pre CV-19'!O95+'BASE - Pre CV-19'!O96+'BASE - Pre CV-19'!O100</f>
        <v>66985.125599999999</v>
      </c>
      <c r="I51" s="196">
        <f>D51</f>
        <v>66700</v>
      </c>
      <c r="J51" s="197">
        <f t="shared" ref="J51:L51" si="42">E51</f>
        <v>65834</v>
      </c>
      <c r="K51" s="197">
        <f t="shared" si="42"/>
        <v>68990</v>
      </c>
      <c r="L51" s="198">
        <f t="shared" si="42"/>
        <v>66985.125599999999</v>
      </c>
      <c r="M51" s="138"/>
      <c r="N51" s="196">
        <f>D52</f>
        <v>54993</v>
      </c>
      <c r="O51" s="197">
        <f t="shared" ref="O51:Q51" si="43">E52</f>
        <v>65834</v>
      </c>
      <c r="P51" s="197">
        <f t="shared" si="43"/>
        <v>68990</v>
      </c>
      <c r="Q51" s="198">
        <f t="shared" si="43"/>
        <v>66985.125599999999</v>
      </c>
      <c r="R51" s="138"/>
      <c r="S51" s="196">
        <f>N51-I51</f>
        <v>-11707</v>
      </c>
      <c r="T51" s="197">
        <f t="shared" ref="T51:V51" si="44">O51-J51</f>
        <v>0</v>
      </c>
      <c r="U51" s="197">
        <f t="shared" si="44"/>
        <v>0</v>
      </c>
      <c r="V51" s="227">
        <f t="shared" si="44"/>
        <v>0</v>
      </c>
      <c r="W51" s="234"/>
    </row>
    <row r="52" spans="2:23" ht="12.75" customHeight="1" x14ac:dyDescent="0.35">
      <c r="B52" s="3"/>
      <c r="C52" s="100" t="s">
        <v>224</v>
      </c>
      <c r="D52" s="105">
        <v>54993</v>
      </c>
      <c r="E52" s="105">
        <v>65834</v>
      </c>
      <c r="F52" s="105">
        <v>68990</v>
      </c>
      <c r="G52" s="105">
        <f>G51</f>
        <v>66985.125599999999</v>
      </c>
      <c r="I52" s="216"/>
      <c r="J52" s="217"/>
      <c r="K52" s="217"/>
      <c r="L52" s="218"/>
      <c r="M52" s="138"/>
      <c r="N52" s="216"/>
      <c r="O52" s="217"/>
      <c r="P52" s="217"/>
      <c r="Q52" s="218"/>
      <c r="R52" s="138"/>
      <c r="S52" s="216"/>
      <c r="T52" s="217"/>
      <c r="U52" s="217"/>
      <c r="V52" s="229"/>
      <c r="W52" s="234"/>
    </row>
    <row r="53" spans="2:23" ht="12.75" customHeight="1" x14ac:dyDescent="0.35">
      <c r="B53" s="3" t="s">
        <v>73</v>
      </c>
      <c r="C53" s="33"/>
      <c r="D53" s="103">
        <v>35391.565799999997</v>
      </c>
      <c r="E53" s="103">
        <v>36821.734484000001</v>
      </c>
      <c r="F53" s="103">
        <v>38329.059794319997</v>
      </c>
      <c r="G53" s="103">
        <f>'BASE - Pre CV-19'!O115</f>
        <v>40606.326298433603</v>
      </c>
      <c r="I53" s="196">
        <f>D53</f>
        <v>35391.565799999997</v>
      </c>
      <c r="J53" s="197">
        <f t="shared" ref="J53:L53" si="45">E53</f>
        <v>36821.734484000001</v>
      </c>
      <c r="K53" s="197">
        <f t="shared" si="45"/>
        <v>38329.059794319997</v>
      </c>
      <c r="L53" s="198">
        <f t="shared" si="45"/>
        <v>40606.326298433603</v>
      </c>
      <c r="M53" s="138"/>
      <c r="N53" s="196">
        <f>D54</f>
        <v>34069</v>
      </c>
      <c r="O53" s="197">
        <f t="shared" ref="O53:Q53" si="46">E54</f>
        <v>40797</v>
      </c>
      <c r="P53" s="197">
        <f t="shared" si="46"/>
        <v>38330</v>
      </c>
      <c r="Q53" s="198">
        <f t="shared" si="46"/>
        <v>40606.326298433603</v>
      </c>
      <c r="R53" s="138"/>
      <c r="S53" s="196">
        <f>N53-I53</f>
        <v>-1322.5657999999967</v>
      </c>
      <c r="T53" s="197">
        <f t="shared" ref="T53:V53" si="47">O53-J53</f>
        <v>3975.2655159999995</v>
      </c>
      <c r="U53" s="197">
        <f t="shared" si="47"/>
        <v>0.94020568000269122</v>
      </c>
      <c r="V53" s="227">
        <f t="shared" si="47"/>
        <v>0</v>
      </c>
      <c r="W53" s="234"/>
    </row>
    <row r="54" spans="2:23" ht="12.75" customHeight="1" x14ac:dyDescent="0.35">
      <c r="B54" s="98"/>
      <c r="C54" s="100" t="s">
        <v>224</v>
      </c>
      <c r="D54" s="113">
        <v>34069</v>
      </c>
      <c r="E54" s="113">
        <v>40797</v>
      </c>
      <c r="F54" s="113">
        <v>38330</v>
      </c>
      <c r="G54" s="105">
        <f>G53</f>
        <v>40606.326298433603</v>
      </c>
      <c r="I54" s="216"/>
      <c r="J54" s="217"/>
      <c r="K54" s="217"/>
      <c r="L54" s="218"/>
      <c r="M54" s="138"/>
      <c r="N54" s="216"/>
      <c r="O54" s="217"/>
      <c r="P54" s="217"/>
      <c r="Q54" s="218"/>
      <c r="R54" s="138"/>
      <c r="S54" s="216"/>
      <c r="T54" s="217"/>
      <c r="U54" s="217"/>
      <c r="V54" s="229"/>
      <c r="W54" s="234"/>
    </row>
    <row r="55" spans="2:23" ht="12.75" customHeight="1" x14ac:dyDescent="0.35">
      <c r="B55" s="3" t="s">
        <v>85</v>
      </c>
      <c r="C55" s="33"/>
      <c r="D55" s="103">
        <v>293552</v>
      </c>
      <c r="E55" s="103">
        <v>302669.54000000004</v>
      </c>
      <c r="F55" s="103">
        <v>311786.00579999998</v>
      </c>
      <c r="G55" s="103">
        <f>'BASE - Pre CV-19'!O129</f>
        <v>321185.30402600003</v>
      </c>
      <c r="I55" s="196">
        <f>D55</f>
        <v>293552</v>
      </c>
      <c r="J55" s="197">
        <f t="shared" ref="J55:L55" si="48">E55</f>
        <v>302669.54000000004</v>
      </c>
      <c r="K55" s="197">
        <f t="shared" si="48"/>
        <v>311786.00579999998</v>
      </c>
      <c r="L55" s="198">
        <f t="shared" si="48"/>
        <v>321185.30402600003</v>
      </c>
      <c r="M55" s="138"/>
      <c r="N55" s="196">
        <f>D56</f>
        <v>257938</v>
      </c>
      <c r="O55" s="197">
        <f t="shared" ref="O55:Q55" si="49">E56</f>
        <v>302670</v>
      </c>
      <c r="P55" s="197">
        <f t="shared" si="49"/>
        <v>311786</v>
      </c>
      <c r="Q55" s="198">
        <f t="shared" si="49"/>
        <v>321185.30402600003</v>
      </c>
      <c r="R55" s="138"/>
      <c r="S55" s="196">
        <f>N55-I55</f>
        <v>-35614</v>
      </c>
      <c r="T55" s="197">
        <f t="shared" ref="T55:V55" si="50">O55-J55</f>
        <v>0.4599999999627471</v>
      </c>
      <c r="U55" s="197">
        <f t="shared" si="50"/>
        <v>-5.799999984446913E-3</v>
      </c>
      <c r="V55" s="227">
        <f t="shared" si="50"/>
        <v>0</v>
      </c>
      <c r="W55" s="234" t="s">
        <v>312</v>
      </c>
    </row>
    <row r="56" spans="2:23" ht="12.75" customHeight="1" x14ac:dyDescent="0.35">
      <c r="B56" s="98"/>
      <c r="C56" s="100" t="s">
        <v>224</v>
      </c>
      <c r="D56" s="113">
        <v>257938</v>
      </c>
      <c r="E56" s="113">
        <v>302670</v>
      </c>
      <c r="F56" s="113">
        <v>311786</v>
      </c>
      <c r="G56" s="105">
        <f>G55</f>
        <v>321185.30402600003</v>
      </c>
      <c r="I56" s="216"/>
      <c r="J56" s="217"/>
      <c r="K56" s="217"/>
      <c r="L56" s="218"/>
      <c r="M56" s="138"/>
      <c r="N56" s="216"/>
      <c r="O56" s="217"/>
      <c r="P56" s="217"/>
      <c r="Q56" s="218"/>
      <c r="R56" s="138"/>
      <c r="S56" s="216"/>
      <c r="T56" s="217"/>
      <c r="U56" s="217"/>
      <c r="V56" s="229"/>
      <c r="W56" s="234"/>
    </row>
    <row r="57" spans="2:23" ht="12.75" customHeight="1" x14ac:dyDescent="0.35">
      <c r="B57" s="3" t="s">
        <v>98</v>
      </c>
      <c r="C57" s="33"/>
      <c r="D57" s="103">
        <v>94932</v>
      </c>
      <c r="E57" s="103">
        <v>99678.6</v>
      </c>
      <c r="F57" s="103">
        <v>99678.6</v>
      </c>
      <c r="G57" s="103">
        <f>'BASE - Pre CV-19'!O136</f>
        <v>104662.53</v>
      </c>
      <c r="I57" s="196">
        <f>D57</f>
        <v>94932</v>
      </c>
      <c r="J57" s="197">
        <f t="shared" ref="J57:L57" si="51">E57</f>
        <v>99678.6</v>
      </c>
      <c r="K57" s="197">
        <f t="shared" si="51"/>
        <v>99678.6</v>
      </c>
      <c r="L57" s="198">
        <f t="shared" si="51"/>
        <v>104662.53</v>
      </c>
      <c r="M57" s="138"/>
      <c r="N57" s="196">
        <f>D58</f>
        <v>100854</v>
      </c>
      <c r="O57" s="197">
        <f t="shared" ref="O57:Q57" si="52">E58</f>
        <v>99678</v>
      </c>
      <c r="P57" s="197">
        <f t="shared" si="52"/>
        <v>99678</v>
      </c>
      <c r="Q57" s="198">
        <f t="shared" si="52"/>
        <v>104662.53</v>
      </c>
      <c r="R57" s="138"/>
      <c r="S57" s="196">
        <f>N57-I57</f>
        <v>5922</v>
      </c>
      <c r="T57" s="197">
        <f t="shared" ref="T57:V57" si="53">O57-J57</f>
        <v>-0.60000000000582077</v>
      </c>
      <c r="U57" s="197">
        <f t="shared" si="53"/>
        <v>-0.60000000000582077</v>
      </c>
      <c r="V57" s="227">
        <f t="shared" si="53"/>
        <v>0</v>
      </c>
      <c r="W57" s="234"/>
    </row>
    <row r="58" spans="2:23" ht="12.75" customHeight="1" x14ac:dyDescent="0.35">
      <c r="C58" s="100" t="s">
        <v>224</v>
      </c>
      <c r="D58" s="118">
        <v>100854</v>
      </c>
      <c r="E58" s="118">
        <v>99678</v>
      </c>
      <c r="F58" s="118">
        <v>99678</v>
      </c>
      <c r="G58" s="105">
        <f>G57</f>
        <v>104662.53</v>
      </c>
      <c r="I58" s="196"/>
      <c r="J58" s="197"/>
      <c r="K58" s="197"/>
      <c r="L58" s="198"/>
      <c r="M58" s="138"/>
      <c r="N58" s="196"/>
      <c r="O58" s="197"/>
      <c r="P58" s="197"/>
      <c r="Q58" s="198"/>
      <c r="R58" s="138"/>
      <c r="S58" s="196"/>
      <c r="T58" s="197"/>
      <c r="U58" s="197"/>
      <c r="V58" s="227"/>
      <c r="W58" s="234"/>
    </row>
    <row r="59" spans="2:23" ht="12.75" customHeight="1" x14ac:dyDescent="0.35">
      <c r="B59" s="3" t="s">
        <v>102</v>
      </c>
      <c r="C59" s="83"/>
      <c r="D59" s="103">
        <v>154690</v>
      </c>
      <c r="E59" s="103">
        <v>223723.99</v>
      </c>
      <c r="F59" s="103">
        <v>161081.476</v>
      </c>
      <c r="G59" s="103">
        <f>'BASE - Pre CV-19'!O145</f>
        <v>229500</v>
      </c>
      <c r="I59" s="196">
        <f>D59</f>
        <v>154690</v>
      </c>
      <c r="J59" s="197">
        <f t="shared" ref="J59:L59" si="54">E59</f>
        <v>223723.99</v>
      </c>
      <c r="K59" s="197">
        <f t="shared" si="54"/>
        <v>161081.476</v>
      </c>
      <c r="L59" s="198">
        <f t="shared" si="54"/>
        <v>229500</v>
      </c>
      <c r="M59" s="138"/>
      <c r="N59" s="196">
        <f>D60</f>
        <v>97645</v>
      </c>
      <c r="O59" s="197">
        <f t="shared" ref="O59:Q59" si="55">E60</f>
        <v>223723</v>
      </c>
      <c r="P59" s="197">
        <f t="shared" si="55"/>
        <v>161081</v>
      </c>
      <c r="Q59" s="198">
        <f t="shared" si="55"/>
        <v>229500</v>
      </c>
      <c r="R59" s="138"/>
      <c r="S59" s="196">
        <f>N59-I59</f>
        <v>-57045</v>
      </c>
      <c r="T59" s="197">
        <f t="shared" ref="T59:V59" si="56">O59-J59</f>
        <v>-0.98999999999068677</v>
      </c>
      <c r="U59" s="197">
        <f t="shared" si="56"/>
        <v>-0.47599999999511056</v>
      </c>
      <c r="V59" s="227">
        <f t="shared" si="56"/>
        <v>0</v>
      </c>
      <c r="W59" s="234" t="s">
        <v>301</v>
      </c>
    </row>
    <row r="60" spans="2:23" ht="12.75" customHeight="1" x14ac:dyDescent="0.35">
      <c r="B60" s="98"/>
      <c r="C60" s="100" t="s">
        <v>224</v>
      </c>
      <c r="D60" s="113">
        <v>97645</v>
      </c>
      <c r="E60" s="113">
        <v>223723</v>
      </c>
      <c r="F60" s="113">
        <v>161081</v>
      </c>
      <c r="G60" s="105">
        <f>G59</f>
        <v>229500</v>
      </c>
      <c r="I60" s="216"/>
      <c r="J60" s="217"/>
      <c r="K60" s="217"/>
      <c r="L60" s="218"/>
      <c r="M60" s="138"/>
      <c r="N60" s="216"/>
      <c r="O60" s="217"/>
      <c r="P60" s="217"/>
      <c r="Q60" s="218"/>
      <c r="R60" s="138"/>
      <c r="S60" s="216"/>
      <c r="T60" s="217"/>
      <c r="U60" s="217"/>
      <c r="V60" s="229"/>
      <c r="W60" s="234"/>
    </row>
    <row r="61" spans="2:23" ht="12.75" customHeight="1" x14ac:dyDescent="0.35">
      <c r="B61" s="3" t="s">
        <v>110</v>
      </c>
      <c r="C61" s="84"/>
      <c r="D61" s="106">
        <v>121500</v>
      </c>
      <c r="E61" s="107">
        <v>4500</v>
      </c>
      <c r="F61" s="108"/>
      <c r="G61">
        <v>3500</v>
      </c>
      <c r="I61" s="222"/>
      <c r="J61" s="223"/>
      <c r="K61" s="223"/>
      <c r="L61" s="224"/>
      <c r="M61" s="138"/>
      <c r="N61" s="222"/>
      <c r="O61" s="223"/>
      <c r="P61" s="223"/>
      <c r="Q61" s="224"/>
      <c r="R61" s="138"/>
      <c r="S61" s="222"/>
      <c r="T61" s="223"/>
      <c r="U61" s="223"/>
      <c r="V61" s="231"/>
      <c r="W61" s="234"/>
    </row>
    <row r="62" spans="2:23" ht="12.75" customHeight="1" x14ac:dyDescent="0.35">
      <c r="C62" s="84"/>
      <c r="D62" s="106"/>
      <c r="E62" s="107"/>
      <c r="F62" s="108"/>
      <c r="I62" s="222"/>
      <c r="J62" s="223"/>
      <c r="K62" s="223"/>
      <c r="L62" s="224"/>
      <c r="M62" s="138"/>
      <c r="N62" s="222"/>
      <c r="O62" s="223"/>
      <c r="P62" s="223"/>
      <c r="Q62" s="224"/>
      <c r="R62" s="138"/>
      <c r="S62" s="222"/>
      <c r="T62" s="223"/>
      <c r="U62" s="223"/>
      <c r="V62" s="231"/>
      <c r="W62" s="234"/>
    </row>
    <row r="63" spans="2:23" ht="12.75" customHeight="1" x14ac:dyDescent="0.35">
      <c r="B63" s="3" t="s">
        <v>113</v>
      </c>
      <c r="C63" s="83"/>
      <c r="D63" s="103">
        <v>83000</v>
      </c>
      <c r="E63" s="103">
        <v>0</v>
      </c>
      <c r="F63" s="103">
        <v>87150</v>
      </c>
      <c r="G63" s="103">
        <f>'BASE - Pre CV-19'!O155</f>
        <v>0</v>
      </c>
      <c r="I63" s="196">
        <f>D63</f>
        <v>83000</v>
      </c>
      <c r="J63" s="197">
        <f t="shared" ref="J63:L63" si="57">E63</f>
        <v>0</v>
      </c>
      <c r="K63" s="197">
        <f t="shared" si="57"/>
        <v>87150</v>
      </c>
      <c r="L63" s="198">
        <f t="shared" si="57"/>
        <v>0</v>
      </c>
      <c r="M63" s="138"/>
      <c r="N63" s="196">
        <f>D64</f>
        <v>80453</v>
      </c>
      <c r="O63" s="197">
        <f t="shared" ref="O63:Q63" si="58">E64</f>
        <v>0</v>
      </c>
      <c r="P63" s="197">
        <f t="shared" si="58"/>
        <v>87150</v>
      </c>
      <c r="Q63" s="198">
        <f t="shared" si="58"/>
        <v>0</v>
      </c>
      <c r="R63" s="138"/>
      <c r="S63" s="196">
        <f>N63-I63</f>
        <v>-2547</v>
      </c>
      <c r="T63" s="197">
        <f t="shared" ref="T63:V63" si="59">O63-J63</f>
        <v>0</v>
      </c>
      <c r="U63" s="197">
        <f t="shared" si="59"/>
        <v>0</v>
      </c>
      <c r="V63" s="227">
        <f t="shared" si="59"/>
        <v>0</v>
      </c>
      <c r="W63" s="234"/>
    </row>
    <row r="64" spans="2:23" ht="12.75" customHeight="1" x14ac:dyDescent="0.35">
      <c r="C64" s="100" t="s">
        <v>224</v>
      </c>
      <c r="D64" s="105">
        <v>80453</v>
      </c>
      <c r="E64" s="105"/>
      <c r="F64" s="105">
        <v>87150</v>
      </c>
      <c r="G64" s="105">
        <f>G63</f>
        <v>0</v>
      </c>
      <c r="I64" s="216"/>
      <c r="J64" s="217"/>
      <c r="K64" s="217"/>
      <c r="L64" s="218"/>
      <c r="M64" s="138"/>
      <c r="N64" s="216"/>
      <c r="O64" s="217"/>
      <c r="P64" s="217"/>
      <c r="Q64" s="218"/>
      <c r="R64" s="138"/>
      <c r="S64" s="216"/>
      <c r="T64" s="217"/>
      <c r="U64" s="217"/>
      <c r="V64" s="229"/>
      <c r="W64" s="234"/>
    </row>
    <row r="65" spans="2:23" ht="12.75" customHeight="1" x14ac:dyDescent="0.35">
      <c r="B65" s="3" t="s">
        <v>115</v>
      </c>
      <c r="C65" s="83"/>
      <c r="D65" s="103">
        <v>0</v>
      </c>
      <c r="E65" s="103">
        <v>86111.3</v>
      </c>
      <c r="F65" s="103">
        <v>0</v>
      </c>
      <c r="G65" s="103">
        <f>'BASE - Pre CV-19'!O161</f>
        <v>86442.010000000009</v>
      </c>
      <c r="I65" s="196">
        <f>D65</f>
        <v>0</v>
      </c>
      <c r="J65" s="197">
        <f t="shared" ref="J65:L65" si="60">E65</f>
        <v>86111.3</v>
      </c>
      <c r="K65" s="197">
        <f t="shared" si="60"/>
        <v>0</v>
      </c>
      <c r="L65" s="198">
        <f t="shared" si="60"/>
        <v>86442.010000000009</v>
      </c>
      <c r="M65" s="138"/>
      <c r="N65" s="196">
        <f>D66</f>
        <v>0</v>
      </c>
      <c r="O65" s="197">
        <f t="shared" ref="O65:Q65" si="61">E66</f>
        <v>86111</v>
      </c>
      <c r="P65" s="197">
        <f t="shared" si="61"/>
        <v>0</v>
      </c>
      <c r="Q65" s="198">
        <f t="shared" si="61"/>
        <v>86442.010000000009</v>
      </c>
      <c r="R65" s="138"/>
      <c r="S65" s="196">
        <f>N65-I65</f>
        <v>0</v>
      </c>
      <c r="T65" s="197">
        <f t="shared" ref="T65:V65" si="62">O65-J65</f>
        <v>-0.30000000000291038</v>
      </c>
      <c r="U65" s="197">
        <f t="shared" si="62"/>
        <v>0</v>
      </c>
      <c r="V65" s="227">
        <f t="shared" si="62"/>
        <v>0</v>
      </c>
      <c r="W65" s="234"/>
    </row>
    <row r="66" spans="2:23" ht="12.75" customHeight="1" x14ac:dyDescent="0.35">
      <c r="C66" s="100" t="s">
        <v>224</v>
      </c>
      <c r="D66" s="105"/>
      <c r="E66" s="105">
        <v>86111</v>
      </c>
      <c r="F66" s="105"/>
      <c r="G66" s="105">
        <f>G65</f>
        <v>86442.010000000009</v>
      </c>
      <c r="I66" s="216"/>
      <c r="J66" s="217"/>
      <c r="K66" s="217"/>
      <c r="L66" s="218"/>
      <c r="M66" s="138"/>
      <c r="N66" s="216"/>
      <c r="O66" s="217"/>
      <c r="P66" s="217"/>
      <c r="Q66" s="218"/>
      <c r="R66" s="138"/>
      <c r="S66" s="216"/>
      <c r="T66" s="217"/>
      <c r="U66" s="217"/>
      <c r="V66" s="229"/>
      <c r="W66" s="234"/>
    </row>
    <row r="67" spans="2:23" ht="12.75" customHeight="1" x14ac:dyDescent="0.35">
      <c r="B67" s="3" t="s">
        <v>120</v>
      </c>
      <c r="C67" s="83"/>
      <c r="D67" s="103">
        <v>0</v>
      </c>
      <c r="E67" s="103">
        <v>140700</v>
      </c>
      <c r="F67" s="103">
        <v>0</v>
      </c>
      <c r="G67" s="103">
        <f>'BASE - Pre CV-19'!O165</f>
        <v>147735</v>
      </c>
      <c r="I67" s="196">
        <f>D67</f>
        <v>0</v>
      </c>
      <c r="J67" s="197">
        <f t="shared" ref="J67:L67" si="63">E67</f>
        <v>140700</v>
      </c>
      <c r="K67" s="197">
        <f t="shared" si="63"/>
        <v>0</v>
      </c>
      <c r="L67" s="198">
        <f t="shared" si="63"/>
        <v>147735</v>
      </c>
      <c r="M67" s="138"/>
      <c r="N67" s="196">
        <f>D68</f>
        <v>0</v>
      </c>
      <c r="O67" s="197">
        <f t="shared" ref="O67:Q67" si="64">E68</f>
        <v>140700</v>
      </c>
      <c r="P67" s="197">
        <f t="shared" si="64"/>
        <v>0</v>
      </c>
      <c r="Q67" s="198">
        <f t="shared" si="64"/>
        <v>147735</v>
      </c>
      <c r="R67" s="138"/>
      <c r="S67" s="196">
        <f>N67-I67</f>
        <v>0</v>
      </c>
      <c r="T67" s="197">
        <f t="shared" ref="T67:V67" si="65">O67-J67</f>
        <v>0</v>
      </c>
      <c r="U67" s="197">
        <f t="shared" si="65"/>
        <v>0</v>
      </c>
      <c r="V67" s="227">
        <f t="shared" si="65"/>
        <v>0</v>
      </c>
      <c r="W67" s="234"/>
    </row>
    <row r="68" spans="2:23" ht="12.75" customHeight="1" x14ac:dyDescent="0.35">
      <c r="C68" s="100" t="s">
        <v>224</v>
      </c>
      <c r="D68" s="105"/>
      <c r="E68" s="105">
        <v>140700</v>
      </c>
      <c r="F68" s="105"/>
      <c r="G68" s="105">
        <f>G67</f>
        <v>147735</v>
      </c>
      <c r="I68" s="216"/>
      <c r="J68" s="217"/>
      <c r="K68" s="217"/>
      <c r="L68" s="218"/>
      <c r="M68" s="138"/>
      <c r="N68" s="216"/>
      <c r="O68" s="217"/>
      <c r="P68" s="217"/>
      <c r="Q68" s="218"/>
      <c r="R68" s="138"/>
      <c r="S68" s="216"/>
      <c r="T68" s="217"/>
      <c r="U68" s="217"/>
      <c r="V68" s="229"/>
      <c r="W68" s="234"/>
    </row>
    <row r="69" spans="2:23" ht="12.75" customHeight="1" x14ac:dyDescent="0.35">
      <c r="B69" s="3" t="s">
        <v>122</v>
      </c>
      <c r="C69" s="83"/>
      <c r="D69" s="103">
        <v>10000</v>
      </c>
      <c r="E69" s="103">
        <v>10000</v>
      </c>
      <c r="F69" s="103">
        <v>10000</v>
      </c>
      <c r="G69" s="103">
        <f>'BASE - Pre CV-19'!O169</f>
        <v>16000</v>
      </c>
      <c r="I69" s="196">
        <f>D69</f>
        <v>10000</v>
      </c>
      <c r="J69" s="197">
        <f t="shared" ref="J69:L69" si="66">E69</f>
        <v>10000</v>
      </c>
      <c r="K69" s="197">
        <f t="shared" si="66"/>
        <v>10000</v>
      </c>
      <c r="L69" s="198">
        <f t="shared" si="66"/>
        <v>16000</v>
      </c>
      <c r="M69" s="138"/>
      <c r="N69" s="196">
        <f>D70</f>
        <v>769</v>
      </c>
      <c r="O69" s="197">
        <f t="shared" ref="O69:Q69" si="67">E70</f>
        <v>10000</v>
      </c>
      <c r="P69" s="197">
        <f t="shared" si="67"/>
        <v>10000</v>
      </c>
      <c r="Q69" s="198">
        <f t="shared" si="67"/>
        <v>16000</v>
      </c>
      <c r="R69" s="138"/>
      <c r="S69" s="196">
        <f>N69-I69</f>
        <v>-9231</v>
      </c>
      <c r="T69" s="197">
        <f t="shared" ref="T69:V69" si="68">O69-J69</f>
        <v>0</v>
      </c>
      <c r="U69" s="197">
        <f t="shared" si="68"/>
        <v>0</v>
      </c>
      <c r="V69" s="227">
        <f t="shared" si="68"/>
        <v>0</v>
      </c>
      <c r="W69" s="234" t="s">
        <v>313</v>
      </c>
    </row>
    <row r="70" spans="2:23" ht="12.75" customHeight="1" x14ac:dyDescent="0.35">
      <c r="B70" s="98"/>
      <c r="C70" s="100" t="s">
        <v>224</v>
      </c>
      <c r="D70" s="113">
        <v>769</v>
      </c>
      <c r="E70" s="113">
        <v>10000</v>
      </c>
      <c r="F70" s="113">
        <v>10000</v>
      </c>
      <c r="G70" s="105">
        <f>G69</f>
        <v>16000</v>
      </c>
      <c r="I70" s="216"/>
      <c r="J70" s="217"/>
      <c r="K70" s="217"/>
      <c r="L70" s="218"/>
      <c r="M70" s="138"/>
      <c r="N70" s="216"/>
      <c r="O70" s="217"/>
      <c r="P70" s="217"/>
      <c r="Q70" s="218"/>
      <c r="R70" s="138"/>
      <c r="S70" s="216"/>
      <c r="T70" s="217"/>
      <c r="U70" s="217"/>
      <c r="V70" s="229"/>
      <c r="W70" s="234"/>
    </row>
    <row r="71" spans="2:23" ht="24" customHeight="1" thickBot="1" x14ac:dyDescent="0.4">
      <c r="B71" s="6" t="s">
        <v>125</v>
      </c>
      <c r="C71" s="85"/>
      <c r="D71" s="103">
        <f>D69+D67+D65+D63+D61</f>
        <v>214500</v>
      </c>
      <c r="E71" s="103">
        <f>E69+E67+E65+E63+E61</f>
        <v>241311.3</v>
      </c>
      <c r="F71" s="103">
        <f>F69+F67+F65+F63</f>
        <v>97150</v>
      </c>
      <c r="G71" s="103">
        <f>G69+G67+G65+G61</f>
        <v>253677.01</v>
      </c>
      <c r="I71" s="196">
        <f>D71</f>
        <v>214500</v>
      </c>
      <c r="J71" s="197">
        <f t="shared" ref="J71:L71" si="69">E71</f>
        <v>241311.3</v>
      </c>
      <c r="K71" s="197">
        <f t="shared" si="69"/>
        <v>97150</v>
      </c>
      <c r="L71" s="198">
        <f t="shared" si="69"/>
        <v>253677.01</v>
      </c>
      <c r="M71" s="138"/>
      <c r="N71" s="196">
        <f>D72</f>
        <v>81278.22</v>
      </c>
      <c r="O71" s="197">
        <f t="shared" ref="O71:Q71" si="70">E72</f>
        <v>241311</v>
      </c>
      <c r="P71" s="197">
        <f t="shared" si="70"/>
        <v>97150</v>
      </c>
      <c r="Q71" s="198">
        <f t="shared" si="70"/>
        <v>250177.01</v>
      </c>
      <c r="R71" s="138"/>
      <c r="S71" s="196">
        <f>N71-I71</f>
        <v>-133221.78</v>
      </c>
      <c r="T71" s="197">
        <f t="shared" ref="T71:V71" si="71">O71-J71</f>
        <v>-0.29999999998835847</v>
      </c>
      <c r="U71" s="197">
        <f t="shared" si="71"/>
        <v>0</v>
      </c>
      <c r="V71" s="227">
        <f t="shared" si="71"/>
        <v>-3500</v>
      </c>
      <c r="W71" s="237" t="s">
        <v>314</v>
      </c>
    </row>
    <row r="72" spans="2:23" ht="12.75" customHeight="1" thickTop="1" x14ac:dyDescent="0.35">
      <c r="B72" s="98"/>
      <c r="C72" s="100" t="s">
        <v>224</v>
      </c>
      <c r="D72" s="105">
        <f>D70+D68+D66+D64+56.22</f>
        <v>81278.22</v>
      </c>
      <c r="E72" s="105">
        <f>E70+E68+E66+E64+4500</f>
        <v>241311</v>
      </c>
      <c r="F72" s="105">
        <f>F70+F68+F66+F64</f>
        <v>97150</v>
      </c>
      <c r="G72" s="105">
        <f>G70+G68+G66+G62</f>
        <v>250177.01</v>
      </c>
      <c r="I72" s="216"/>
      <c r="J72" s="217"/>
      <c r="K72" s="217"/>
      <c r="L72" s="218"/>
      <c r="M72" s="138"/>
      <c r="N72" s="216"/>
      <c r="O72" s="217"/>
      <c r="P72" s="217"/>
      <c r="Q72" s="218"/>
      <c r="R72" s="138"/>
      <c r="S72" s="216"/>
      <c r="T72" s="217"/>
      <c r="U72" s="217"/>
      <c r="V72" s="229"/>
      <c r="W72" s="234"/>
    </row>
    <row r="73" spans="2:23" ht="12.75" customHeight="1" thickBot="1" x14ac:dyDescent="0.4">
      <c r="B73" s="6" t="s">
        <v>126</v>
      </c>
      <c r="C73" s="85"/>
      <c r="D73" s="103">
        <f>D71+D59+D57+D55+D53+D51</f>
        <v>859765.56579999998</v>
      </c>
      <c r="E73" s="103">
        <f>E71+E59+E57+E55+E53+E51</f>
        <v>970039.16448400007</v>
      </c>
      <c r="F73" s="103">
        <f>F71+F59+F57+F55+F53+F51</f>
        <v>777015.14159432007</v>
      </c>
      <c r="G73" s="103">
        <f>G71+G59+G57+G55+G53+G51</f>
        <v>1016616.2959244336</v>
      </c>
      <c r="H73">
        <f>G71+G59+G57+G55+G53+G51</f>
        <v>1016616.2959244336</v>
      </c>
      <c r="I73" s="196">
        <f>D73</f>
        <v>859765.56579999998</v>
      </c>
      <c r="J73" s="197">
        <f t="shared" ref="J73:L73" si="72">E73</f>
        <v>970039.16448400007</v>
      </c>
      <c r="K73" s="197">
        <f t="shared" si="72"/>
        <v>777015.14159432007</v>
      </c>
      <c r="L73" s="198">
        <f t="shared" si="72"/>
        <v>1016616.2959244336</v>
      </c>
      <c r="M73" s="138"/>
      <c r="N73" s="196">
        <f>D74</f>
        <v>723843.22</v>
      </c>
      <c r="O73" s="197">
        <f t="shared" ref="O73:Q73" si="73">E74</f>
        <v>974013</v>
      </c>
      <c r="P73" s="197">
        <f t="shared" si="73"/>
        <v>777015</v>
      </c>
      <c r="Q73" s="198">
        <f t="shared" si="73"/>
        <v>1016616.2959244336</v>
      </c>
      <c r="R73" s="138"/>
      <c r="S73" s="196">
        <f>N73-I73</f>
        <v>-135922.34580000001</v>
      </c>
      <c r="T73" s="197">
        <f t="shared" ref="T73:V73" si="74">O73-J73</f>
        <v>3973.8355159999337</v>
      </c>
      <c r="U73" s="197">
        <f t="shared" si="74"/>
        <v>-0.1415943200699985</v>
      </c>
      <c r="V73" s="227">
        <f t="shared" si="74"/>
        <v>0</v>
      </c>
      <c r="W73" s="234"/>
    </row>
    <row r="74" spans="2:23" ht="12.75" customHeight="1" thickTop="1" x14ac:dyDescent="0.35">
      <c r="B74" s="98"/>
      <c r="C74" s="100" t="s">
        <v>224</v>
      </c>
      <c r="D74" s="113">
        <f>D72+D60+D56+D54+D52+D50+D58</f>
        <v>723843.22</v>
      </c>
      <c r="E74" s="113">
        <f>E72+E60+E56+E54+E52+E50+E58</f>
        <v>974013</v>
      </c>
      <c r="F74" s="113">
        <f>F72+F60+F58+F56+F54+F52</f>
        <v>777015</v>
      </c>
      <c r="G74" s="113">
        <f>G72+G60+G58+G56+G54+G52+G61</f>
        <v>1016616.2959244336</v>
      </c>
      <c r="I74" s="216"/>
      <c r="J74" s="217"/>
      <c r="K74" s="217"/>
      <c r="L74" s="218"/>
      <c r="M74" s="138"/>
      <c r="N74" s="216"/>
      <c r="O74" s="217"/>
      <c r="P74" s="217"/>
      <c r="Q74" s="218"/>
      <c r="R74" s="138"/>
      <c r="S74" s="216"/>
      <c r="T74" s="217"/>
      <c r="U74" s="217"/>
      <c r="V74" s="229"/>
      <c r="W74" s="234"/>
    </row>
    <row r="75" spans="2:23" ht="12.75" customHeight="1" thickBot="1" x14ac:dyDescent="0.4">
      <c r="B75" s="6" t="s">
        <v>168</v>
      </c>
      <c r="C75" s="85" t="s">
        <v>227</v>
      </c>
      <c r="D75" s="103">
        <f>D45-D73</f>
        <v>20146.91165454546</v>
      </c>
      <c r="E75" s="103">
        <f>E45-E73</f>
        <v>28002.241343272734</v>
      </c>
      <c r="F75" s="103">
        <f>F45-F73</f>
        <v>24696.242024316452</v>
      </c>
      <c r="G75" s="103">
        <f>G45-G73</f>
        <v>17632.107268206193</v>
      </c>
      <c r="I75" s="199">
        <f>D75</f>
        <v>20146.91165454546</v>
      </c>
      <c r="J75" s="200">
        <f t="shared" ref="J75:L75" si="75">E75</f>
        <v>28002.241343272734</v>
      </c>
      <c r="K75" s="200">
        <f t="shared" si="75"/>
        <v>24696.242024316452</v>
      </c>
      <c r="L75" s="201">
        <f t="shared" si="75"/>
        <v>17632.107268206193</v>
      </c>
      <c r="M75" s="138"/>
      <c r="N75" s="199">
        <f>D76</f>
        <v>68454.780000000028</v>
      </c>
      <c r="O75" s="200">
        <f t="shared" ref="O75:Q75" si="76">E76</f>
        <v>16105</v>
      </c>
      <c r="P75" s="200">
        <f t="shared" si="76"/>
        <v>16908.600000000093</v>
      </c>
      <c r="Q75" s="201">
        <f t="shared" si="76"/>
        <v>17632.107268206193</v>
      </c>
      <c r="R75" s="138"/>
      <c r="S75" s="199">
        <f>N75-I75</f>
        <v>48307.868345454568</v>
      </c>
      <c r="T75" s="200">
        <f t="shared" ref="T75:V75" si="77">O75-J75</f>
        <v>-11897.241343272734</v>
      </c>
      <c r="U75" s="200">
        <f t="shared" si="77"/>
        <v>-7787.6420243163593</v>
      </c>
      <c r="V75" s="232">
        <f t="shared" si="77"/>
        <v>0</v>
      </c>
      <c r="W75" s="235"/>
    </row>
    <row r="76" spans="2:23" ht="12.75" customHeight="1" thickTop="1" x14ac:dyDescent="0.35">
      <c r="B76" s="98"/>
      <c r="C76" s="100" t="s">
        <v>224</v>
      </c>
      <c r="D76" s="113">
        <f>D46-D74</f>
        <v>68454.780000000028</v>
      </c>
      <c r="E76" s="113">
        <f>E46-E74</f>
        <v>16105</v>
      </c>
      <c r="F76" s="113">
        <f>F46-F74</f>
        <v>16908.600000000093</v>
      </c>
      <c r="G76" s="113">
        <f>G46-G74</f>
        <v>17632.107268206193</v>
      </c>
      <c r="I76" s="138"/>
      <c r="J76" s="138"/>
      <c r="K76" s="138"/>
      <c r="L76" s="138"/>
      <c r="M76" s="138"/>
      <c r="N76" s="138"/>
      <c r="O76" s="138"/>
      <c r="P76" s="138"/>
      <c r="Q76" s="138"/>
      <c r="R76" s="138"/>
      <c r="S76" s="138"/>
      <c r="T76" s="138"/>
      <c r="U76" s="138"/>
      <c r="V76" s="138"/>
    </row>
    <row r="77" spans="2:23" ht="12.75" customHeight="1" x14ac:dyDescent="0.35">
      <c r="I77" s="138"/>
      <c r="J77" s="138"/>
      <c r="K77" s="138"/>
      <c r="L77" s="138"/>
      <c r="M77" s="138"/>
      <c r="N77" s="138"/>
      <c r="O77" s="138"/>
      <c r="P77" s="138"/>
      <c r="Q77" s="138"/>
      <c r="R77" s="138"/>
      <c r="S77" s="138"/>
      <c r="T77" s="138"/>
      <c r="U77" s="138"/>
      <c r="V77" s="138"/>
    </row>
    <row r="78" spans="2:23" ht="16.5" customHeight="1" x14ac:dyDescent="0.35"/>
    <row r="79" spans="2:23" ht="12.75" customHeight="1" x14ac:dyDescent="0.35">
      <c r="C79" s="78"/>
      <c r="D79" s="47">
        <v>43983</v>
      </c>
      <c r="E79" s="46">
        <v>44348</v>
      </c>
      <c r="F79" s="46">
        <v>44713</v>
      </c>
      <c r="G79" s="46">
        <v>45078</v>
      </c>
    </row>
    <row r="80" spans="2:23" ht="12.75" customHeight="1" x14ac:dyDescent="0.35">
      <c r="B80" s="31"/>
      <c r="C80" s="79"/>
      <c r="D80" s="9" t="s">
        <v>132</v>
      </c>
      <c r="E80" s="44" t="s">
        <v>132</v>
      </c>
      <c r="F80" s="9" t="s">
        <v>132</v>
      </c>
      <c r="G80" s="9" t="s">
        <v>132</v>
      </c>
    </row>
    <row r="81" spans="2:5" ht="12.75" customHeight="1" x14ac:dyDescent="0.35">
      <c r="B81" s="31"/>
      <c r="D81" s="31"/>
      <c r="E81" s="31"/>
    </row>
    <row r="82" spans="2:5" ht="12.75" customHeight="1" x14ac:dyDescent="0.35">
      <c r="B82" s="31"/>
      <c r="D82" s="31"/>
      <c r="E82" s="31"/>
    </row>
    <row r="83" spans="2:5" ht="12.75" customHeight="1" x14ac:dyDescent="0.35">
      <c r="B83" s="26"/>
      <c r="D83" s="31"/>
      <c r="E83" s="31"/>
    </row>
    <row r="84" spans="2:5" ht="27.75" customHeight="1" x14ac:dyDescent="0.35">
      <c r="B84" s="26"/>
      <c r="D84" s="31"/>
      <c r="E84" s="31"/>
    </row>
    <row r="85" spans="2:5" ht="12.75" customHeight="1" x14ac:dyDescent="0.35">
      <c r="B85" s="54"/>
      <c r="D85" s="31"/>
      <c r="E85" s="31"/>
    </row>
    <row r="86" spans="2:5" ht="12.75" customHeight="1" x14ac:dyDescent="0.35">
      <c r="B86" s="54"/>
      <c r="D86" s="31"/>
      <c r="E86" s="31"/>
    </row>
    <row r="87" spans="2:5" ht="12.75" customHeight="1" x14ac:dyDescent="0.35">
      <c r="B87" s="55"/>
      <c r="D87" s="31"/>
      <c r="E87" s="31"/>
    </row>
    <row r="88" spans="2:5" ht="12.75" customHeight="1" x14ac:dyDescent="0.35">
      <c r="B88" s="54"/>
      <c r="D88" s="31"/>
      <c r="E88" s="31"/>
    </row>
    <row r="89" spans="2:5" ht="12.75" customHeight="1" x14ac:dyDescent="0.35">
      <c r="B89" s="54"/>
      <c r="D89" s="31"/>
      <c r="E89" s="31"/>
    </row>
    <row r="90" spans="2:5" ht="12.75" customHeight="1" x14ac:dyDescent="0.35">
      <c r="B90" s="55"/>
      <c r="D90" s="31"/>
      <c r="E90" s="31"/>
    </row>
    <row r="91" spans="2:5" ht="12.75" customHeight="1" x14ac:dyDescent="0.35">
      <c r="B91" s="55"/>
      <c r="D91" s="31"/>
      <c r="E91" s="31"/>
    </row>
    <row r="92" spans="2:5" ht="12.75" customHeight="1" x14ac:dyDescent="0.35">
      <c r="B92" s="54"/>
      <c r="D92" s="31"/>
      <c r="E92" s="31"/>
    </row>
    <row r="93" spans="2:5" ht="12.75" customHeight="1" x14ac:dyDescent="0.35">
      <c r="B93" s="54"/>
      <c r="D93" s="31"/>
      <c r="E93" s="31"/>
    </row>
    <row r="94" spans="2:5" ht="12.75" customHeight="1" x14ac:dyDescent="0.35">
      <c r="B94" s="54"/>
      <c r="D94" s="31"/>
      <c r="E94" s="31"/>
    </row>
    <row r="95" spans="2:5" ht="12.75" customHeight="1" x14ac:dyDescent="0.35">
      <c r="B95" s="54"/>
      <c r="D95" s="31"/>
      <c r="E95" s="31"/>
    </row>
    <row r="96" spans="2:5" ht="12.75" customHeight="1" x14ac:dyDescent="0.35">
      <c r="B96" s="54"/>
      <c r="D96" s="31"/>
      <c r="E96" s="31"/>
    </row>
    <row r="97" spans="2:5" ht="12.75" customHeight="1" x14ac:dyDescent="0.35">
      <c r="B97" s="54"/>
      <c r="D97" s="31"/>
      <c r="E97" s="31"/>
    </row>
    <row r="98" spans="2:5" ht="12.75" customHeight="1" x14ac:dyDescent="0.35">
      <c r="B98" s="55"/>
      <c r="D98" s="31"/>
      <c r="E98" s="31"/>
    </row>
    <row r="99" spans="2:5" ht="12.75" customHeight="1" x14ac:dyDescent="0.35">
      <c r="B99" s="54"/>
      <c r="D99" s="31"/>
      <c r="E99" s="31"/>
    </row>
    <row r="100" spans="2:5" ht="12.75" customHeight="1" x14ac:dyDescent="0.35">
      <c r="B100" s="55"/>
      <c r="D100" s="31"/>
      <c r="E100" s="31"/>
    </row>
    <row r="101" spans="2:5" ht="12.75" customHeight="1" x14ac:dyDescent="0.35">
      <c r="B101" s="55"/>
      <c r="D101" s="31"/>
      <c r="E101" s="31"/>
    </row>
    <row r="102" spans="2:5" ht="12.75" customHeight="1" x14ac:dyDescent="0.35">
      <c r="B102" s="54"/>
      <c r="D102" s="31"/>
      <c r="E102" s="31"/>
    </row>
    <row r="103" spans="2:5" ht="12.75" customHeight="1" x14ac:dyDescent="0.35">
      <c r="B103" s="55"/>
      <c r="D103" s="31"/>
      <c r="E103" s="31"/>
    </row>
    <row r="104" spans="2:5" ht="12.75" customHeight="1" x14ac:dyDescent="0.35">
      <c r="B104" s="54"/>
      <c r="D104" s="31"/>
      <c r="E104" s="31"/>
    </row>
    <row r="105" spans="2:5" ht="12.75" customHeight="1" x14ac:dyDescent="0.35">
      <c r="B105" s="54"/>
      <c r="D105" s="31"/>
      <c r="E105" s="31"/>
    </row>
    <row r="106" spans="2:5" ht="12.75" customHeight="1" x14ac:dyDescent="0.35">
      <c r="B106" s="54"/>
      <c r="D106" s="31"/>
      <c r="E106" s="31"/>
    </row>
    <row r="107" spans="2:5" ht="12.75" customHeight="1" x14ac:dyDescent="0.35">
      <c r="B107" s="54"/>
      <c r="D107" s="31"/>
      <c r="E107" s="31"/>
    </row>
    <row r="108" spans="2:5" ht="12.75" customHeight="1" x14ac:dyDescent="0.35">
      <c r="B108" s="54"/>
      <c r="D108" s="31"/>
      <c r="E108" s="31"/>
    </row>
    <row r="109" spans="2:5" ht="12.75" customHeight="1" x14ac:dyDescent="0.35">
      <c r="B109" s="54"/>
      <c r="D109" s="31"/>
      <c r="E109" s="31"/>
    </row>
    <row r="110" spans="2:5" ht="12.75" customHeight="1" x14ac:dyDescent="0.35">
      <c r="B110" s="54"/>
      <c r="D110" s="31"/>
      <c r="E110" s="31"/>
    </row>
    <row r="111" spans="2:5" ht="12.75" customHeight="1" x14ac:dyDescent="0.35">
      <c r="B111" s="54"/>
      <c r="D111" s="31"/>
      <c r="E111" s="31"/>
    </row>
    <row r="112" spans="2:5" ht="12.75" customHeight="1" x14ac:dyDescent="0.35">
      <c r="B112" s="54"/>
      <c r="D112" s="31"/>
      <c r="E112" s="31"/>
    </row>
    <row r="113" spans="2:5" ht="12.75" customHeight="1" x14ac:dyDescent="0.35">
      <c r="B113" s="54"/>
      <c r="D113" s="31"/>
      <c r="E113" s="31"/>
    </row>
    <row r="114" spans="2:5" ht="12.75" customHeight="1" x14ac:dyDescent="0.35">
      <c r="B114" s="54"/>
      <c r="D114" s="31"/>
      <c r="E114" s="31"/>
    </row>
    <row r="115" spans="2:5" ht="12.75" customHeight="1" x14ac:dyDescent="0.35">
      <c r="B115" s="54"/>
      <c r="D115" s="31"/>
      <c r="E115" s="31"/>
    </row>
    <row r="116" spans="2:5" ht="12.75" customHeight="1" x14ac:dyDescent="0.35">
      <c r="B116" s="54"/>
      <c r="D116" s="31"/>
      <c r="E116" s="31"/>
    </row>
    <row r="117" spans="2:5" ht="12.75" customHeight="1" x14ac:dyDescent="0.35">
      <c r="B117" s="31"/>
      <c r="D117" s="31"/>
      <c r="E117" s="31"/>
    </row>
    <row r="118" spans="2:5" ht="12.75" customHeight="1" x14ac:dyDescent="0.35">
      <c r="B118" s="31"/>
      <c r="D118" s="31"/>
      <c r="E118" s="31"/>
    </row>
    <row r="119" spans="2:5" ht="12.75" customHeight="1" x14ac:dyDescent="0.35">
      <c r="B119" s="31"/>
      <c r="D119" s="31"/>
      <c r="E119" s="31"/>
    </row>
    <row r="120" spans="2:5" ht="12.75" customHeight="1" x14ac:dyDescent="0.35">
      <c r="B120" s="31"/>
      <c r="D120" s="31"/>
      <c r="E120" s="31"/>
    </row>
    <row r="121" spans="2:5" ht="12.75" customHeight="1" x14ac:dyDescent="0.35">
      <c r="B121" s="31"/>
      <c r="D121" s="31"/>
      <c r="E121" s="31"/>
    </row>
    <row r="122" spans="2:5" ht="12.75" customHeight="1" x14ac:dyDescent="0.35">
      <c r="B122" s="31"/>
      <c r="D122" s="31"/>
      <c r="E122" s="31"/>
    </row>
    <row r="123" spans="2:5" ht="12.75" customHeight="1" x14ac:dyDescent="0.35">
      <c r="B123" s="31"/>
      <c r="D123" s="31"/>
      <c r="E123" s="31"/>
    </row>
    <row r="124" spans="2:5" ht="12.75" customHeight="1" x14ac:dyDescent="0.35">
      <c r="B124" s="31"/>
      <c r="D124" s="31"/>
      <c r="E124" s="31"/>
    </row>
    <row r="125" spans="2:5" ht="12.75" customHeight="1" x14ac:dyDescent="0.35">
      <c r="B125" s="31"/>
      <c r="D125" s="31"/>
      <c r="E125" s="31"/>
    </row>
    <row r="126" spans="2:5" ht="12.75" customHeight="1" x14ac:dyDescent="0.35">
      <c r="B126" s="31"/>
      <c r="D126" s="31"/>
      <c r="E126" s="31"/>
    </row>
    <row r="127" spans="2:5" ht="12.75" customHeight="1" x14ac:dyDescent="0.35">
      <c r="B127" s="31"/>
      <c r="D127" s="31"/>
      <c r="E127" s="31"/>
    </row>
    <row r="128" spans="2:5" ht="12.75" customHeight="1" x14ac:dyDescent="0.35">
      <c r="B128" s="31"/>
      <c r="D128" s="31"/>
      <c r="E128" s="31"/>
    </row>
    <row r="129" spans="2:5" ht="12.75" customHeight="1" x14ac:dyDescent="0.35">
      <c r="B129" s="31"/>
      <c r="D129" s="31"/>
      <c r="E129" s="31"/>
    </row>
    <row r="130" spans="2:5" ht="12.75" customHeight="1" x14ac:dyDescent="0.35">
      <c r="B130" s="31"/>
      <c r="D130" s="31"/>
      <c r="E130" s="31"/>
    </row>
    <row r="131" spans="2:5" ht="12.75" customHeight="1" x14ac:dyDescent="0.35">
      <c r="B131" s="31"/>
      <c r="D131" s="31"/>
      <c r="E131" s="31"/>
    </row>
    <row r="132" spans="2:5" ht="12.75" customHeight="1" x14ac:dyDescent="0.35">
      <c r="B132" s="31"/>
      <c r="D132" s="31"/>
      <c r="E132" s="31"/>
    </row>
    <row r="133" spans="2:5" ht="12.75" customHeight="1" x14ac:dyDescent="0.35">
      <c r="B133" s="31"/>
      <c r="D133" s="31"/>
      <c r="E133" s="31"/>
    </row>
    <row r="134" spans="2:5" ht="12.75" customHeight="1" x14ac:dyDescent="0.35">
      <c r="B134" s="31"/>
      <c r="D134" s="31"/>
      <c r="E134" s="31"/>
    </row>
    <row r="135" spans="2:5" ht="12.75" customHeight="1" x14ac:dyDescent="0.35">
      <c r="B135" s="31"/>
      <c r="D135" s="31"/>
      <c r="E135" s="31"/>
    </row>
    <row r="136" spans="2:5" ht="12.75" customHeight="1" x14ac:dyDescent="0.35">
      <c r="B136" s="31"/>
      <c r="D136" s="31"/>
      <c r="E136" s="31"/>
    </row>
    <row r="137" spans="2:5" ht="12.75" customHeight="1" x14ac:dyDescent="0.35">
      <c r="B137" s="31"/>
      <c r="D137" s="31"/>
      <c r="E137" s="31"/>
    </row>
    <row r="138" spans="2:5" ht="12.75" customHeight="1" x14ac:dyDescent="0.35">
      <c r="B138" s="31"/>
      <c r="D138" s="31"/>
      <c r="E138" s="31"/>
    </row>
    <row r="139" spans="2:5" ht="12.75" customHeight="1" x14ac:dyDescent="0.35">
      <c r="B139" s="31"/>
      <c r="D139" s="31"/>
      <c r="E139" s="31"/>
    </row>
    <row r="140" spans="2:5" ht="12.75" customHeight="1" x14ac:dyDescent="0.35">
      <c r="B140" s="31"/>
      <c r="D140" s="31"/>
      <c r="E140" s="31"/>
    </row>
    <row r="141" spans="2:5" ht="12.75" customHeight="1" x14ac:dyDescent="0.35">
      <c r="B141" s="31"/>
      <c r="D141" s="31"/>
      <c r="E141" s="31"/>
    </row>
    <row r="142" spans="2:5" ht="12.75" customHeight="1" x14ac:dyDescent="0.35">
      <c r="B142" s="31"/>
      <c r="D142" s="31"/>
      <c r="E142" s="31"/>
    </row>
    <row r="143" spans="2:5" ht="12.75" customHeight="1" x14ac:dyDescent="0.35">
      <c r="B143" s="31"/>
      <c r="D143" s="31"/>
      <c r="E143" s="31"/>
    </row>
    <row r="144" spans="2:5" ht="12.75" customHeight="1" x14ac:dyDescent="0.35">
      <c r="B144" s="31"/>
      <c r="D144" s="31"/>
      <c r="E144" s="31"/>
    </row>
    <row r="145" spans="2:5" ht="12.75" customHeight="1" x14ac:dyDescent="0.35">
      <c r="B145" s="31"/>
      <c r="D145" s="31"/>
      <c r="E145" s="31"/>
    </row>
    <row r="146" spans="2:5" ht="12.75" customHeight="1" x14ac:dyDescent="0.35">
      <c r="B146" s="31"/>
      <c r="D146" s="31"/>
      <c r="E146" s="31"/>
    </row>
    <row r="147" spans="2:5" ht="12.75" customHeight="1" x14ac:dyDescent="0.35">
      <c r="B147" s="31"/>
      <c r="D147" s="31"/>
      <c r="E147" s="31"/>
    </row>
    <row r="148" spans="2:5" ht="12.75" customHeight="1" x14ac:dyDescent="0.35">
      <c r="B148" s="31"/>
      <c r="D148" s="31"/>
      <c r="E148" s="31"/>
    </row>
    <row r="149" spans="2:5" ht="12.75" customHeight="1" x14ac:dyDescent="0.35">
      <c r="B149" s="31"/>
      <c r="D149" s="31"/>
      <c r="E149" s="31"/>
    </row>
    <row r="150" spans="2:5" ht="12.75" customHeight="1" x14ac:dyDescent="0.35">
      <c r="B150" s="31"/>
      <c r="D150" s="31"/>
      <c r="E150" s="31"/>
    </row>
    <row r="151" spans="2:5" ht="12.75" customHeight="1" x14ac:dyDescent="0.35">
      <c r="B151" s="31"/>
      <c r="D151" s="31"/>
      <c r="E151" s="31"/>
    </row>
    <row r="152" spans="2:5" ht="12.75" customHeight="1" x14ac:dyDescent="0.35">
      <c r="B152" s="31"/>
      <c r="D152" s="31"/>
      <c r="E152" s="31"/>
    </row>
    <row r="153" spans="2:5" ht="12.75" customHeight="1" x14ac:dyDescent="0.35">
      <c r="B153" s="31"/>
      <c r="D153" s="31"/>
      <c r="E153" s="31"/>
    </row>
    <row r="154" spans="2:5" ht="12.75" customHeight="1" x14ac:dyDescent="0.35">
      <c r="B154" s="31"/>
      <c r="D154" s="31"/>
      <c r="E154" s="31"/>
    </row>
    <row r="155" spans="2:5" ht="12.75" customHeight="1" x14ac:dyDescent="0.35">
      <c r="B155" s="31"/>
      <c r="D155" s="31"/>
      <c r="E155" s="31"/>
    </row>
    <row r="156" spans="2:5" ht="12.75" customHeight="1" x14ac:dyDescent="0.35">
      <c r="B156" s="31"/>
      <c r="D156" s="31"/>
      <c r="E156" s="31"/>
    </row>
    <row r="157" spans="2:5" ht="12.75" customHeight="1" x14ac:dyDescent="0.35">
      <c r="B157" s="31"/>
      <c r="D157" s="31"/>
      <c r="E157" s="31"/>
    </row>
    <row r="158" spans="2:5" ht="12.75" customHeight="1" x14ac:dyDescent="0.35">
      <c r="B158" s="31"/>
      <c r="D158" s="31"/>
      <c r="E158" s="31"/>
    </row>
    <row r="159" spans="2:5" ht="12.75" customHeight="1" x14ac:dyDescent="0.35">
      <c r="B159" s="31"/>
      <c r="D159" s="31"/>
      <c r="E159" s="31"/>
    </row>
    <row r="160" spans="2:5" ht="12.75" customHeight="1" x14ac:dyDescent="0.35">
      <c r="B160" s="31"/>
      <c r="D160" s="31"/>
      <c r="E160" s="31"/>
    </row>
    <row r="161" spans="2:5" ht="12.75" customHeight="1" x14ac:dyDescent="0.35">
      <c r="B161" s="31"/>
      <c r="D161" s="31"/>
      <c r="E161" s="31"/>
    </row>
    <row r="162" spans="2:5" ht="12.75" customHeight="1" x14ac:dyDescent="0.35">
      <c r="B162" s="31"/>
      <c r="D162" s="31"/>
      <c r="E162" s="31"/>
    </row>
    <row r="163" spans="2:5" ht="12.75" customHeight="1" x14ac:dyDescent="0.35">
      <c r="B163" s="31"/>
      <c r="D163" s="31"/>
      <c r="E163" s="31"/>
    </row>
    <row r="164" spans="2:5" ht="12.75" customHeight="1" x14ac:dyDescent="0.35">
      <c r="B164" s="31"/>
      <c r="D164" s="31"/>
      <c r="E164" s="31"/>
    </row>
    <row r="165" spans="2:5" ht="12.75" customHeight="1" x14ac:dyDescent="0.35">
      <c r="B165" s="31"/>
      <c r="D165" s="31"/>
      <c r="E165" s="31"/>
    </row>
    <row r="166" spans="2:5" ht="12.75" customHeight="1" x14ac:dyDescent="0.35">
      <c r="B166" s="31"/>
      <c r="D166" s="31"/>
      <c r="E166" s="31"/>
    </row>
    <row r="167" spans="2:5" ht="12.75" customHeight="1" x14ac:dyDescent="0.35">
      <c r="B167" s="31"/>
      <c r="D167" s="31"/>
      <c r="E167" s="31"/>
    </row>
    <row r="168" spans="2:5" ht="12.75" customHeight="1" x14ac:dyDescent="0.35">
      <c r="B168" s="31"/>
      <c r="D168" s="31"/>
      <c r="E168" s="31"/>
    </row>
    <row r="169" spans="2:5" ht="12.75" customHeight="1" x14ac:dyDescent="0.35">
      <c r="B169" s="31"/>
      <c r="D169" s="31"/>
      <c r="E169" s="31"/>
    </row>
    <row r="170" spans="2:5" ht="12.75" customHeight="1" x14ac:dyDescent="0.35">
      <c r="B170" s="31"/>
      <c r="D170" s="31"/>
      <c r="E170" s="31"/>
    </row>
    <row r="171" spans="2:5" ht="12.75" customHeight="1" x14ac:dyDescent="0.35">
      <c r="B171" s="31"/>
      <c r="D171" s="31"/>
      <c r="E171" s="31"/>
    </row>
    <row r="172" spans="2:5" ht="12.75" customHeight="1" x14ac:dyDescent="0.35">
      <c r="B172" s="31"/>
      <c r="D172" s="31"/>
      <c r="E172" s="31"/>
    </row>
    <row r="173" spans="2:5" ht="12.75" customHeight="1" x14ac:dyDescent="0.35">
      <c r="B173" s="31"/>
      <c r="D173" s="31"/>
      <c r="E173" s="31"/>
    </row>
    <row r="174" spans="2:5" ht="12.75" customHeight="1" x14ac:dyDescent="0.35">
      <c r="B174" s="31"/>
      <c r="D174" s="31"/>
      <c r="E174" s="31"/>
    </row>
    <row r="175" spans="2:5" ht="12.75" customHeight="1" x14ac:dyDescent="0.35">
      <c r="B175" s="31"/>
      <c r="D175" s="31"/>
      <c r="E175" s="31"/>
    </row>
    <row r="176" spans="2:5" ht="12.75" customHeight="1" x14ac:dyDescent="0.35">
      <c r="B176" s="31"/>
      <c r="D176" s="31"/>
      <c r="E176" s="31"/>
    </row>
    <row r="177" spans="2:5" ht="12.75" customHeight="1" x14ac:dyDescent="0.35">
      <c r="B177" s="31"/>
      <c r="D177" s="31"/>
      <c r="E177" s="31"/>
    </row>
    <row r="178" spans="2:5" ht="12.75" customHeight="1" x14ac:dyDescent="0.35">
      <c r="B178" s="31"/>
      <c r="D178" s="31"/>
      <c r="E178" s="31"/>
    </row>
    <row r="179" spans="2:5" ht="12.75" customHeight="1" x14ac:dyDescent="0.35">
      <c r="B179" s="31"/>
      <c r="D179" s="31"/>
      <c r="E179" s="31"/>
    </row>
    <row r="180" spans="2:5" ht="12.75" customHeight="1" x14ac:dyDescent="0.35">
      <c r="B180" s="31"/>
      <c r="D180" s="31"/>
      <c r="E180" s="31"/>
    </row>
    <row r="181" spans="2:5" ht="12.75" customHeight="1" x14ac:dyDescent="0.35">
      <c r="B181" s="31"/>
      <c r="D181" s="31"/>
      <c r="E181" s="31"/>
    </row>
    <row r="182" spans="2:5" ht="12.75" customHeight="1" x14ac:dyDescent="0.35">
      <c r="B182" s="31"/>
      <c r="D182" s="31"/>
      <c r="E182" s="31"/>
    </row>
    <row r="183" spans="2:5" ht="12.75" customHeight="1" x14ac:dyDescent="0.35">
      <c r="B183" s="31"/>
      <c r="D183" s="31"/>
      <c r="E183" s="31"/>
    </row>
    <row r="184" spans="2:5" ht="12.75" customHeight="1" x14ac:dyDescent="0.35">
      <c r="B184" s="31"/>
      <c r="D184" s="31"/>
      <c r="E184" s="31"/>
    </row>
    <row r="185" spans="2:5" ht="12.75" customHeight="1" x14ac:dyDescent="0.35">
      <c r="B185" s="31"/>
      <c r="D185" s="31"/>
      <c r="E185" s="31"/>
    </row>
    <row r="186" spans="2:5" ht="12.75" customHeight="1" x14ac:dyDescent="0.35">
      <c r="B186" s="31"/>
      <c r="D186" s="31"/>
      <c r="E186" s="31"/>
    </row>
    <row r="187" spans="2:5" ht="12.75" customHeight="1" x14ac:dyDescent="0.35">
      <c r="B187" s="31"/>
      <c r="D187" s="31"/>
      <c r="E187" s="31"/>
    </row>
    <row r="188" spans="2:5" ht="12.75" customHeight="1" x14ac:dyDescent="0.35">
      <c r="B188" s="31"/>
      <c r="D188" s="31"/>
      <c r="E188" s="31"/>
    </row>
    <row r="189" spans="2:5" ht="12.75" customHeight="1" x14ac:dyDescent="0.35">
      <c r="B189" s="31"/>
      <c r="D189" s="31"/>
      <c r="E189" s="31"/>
    </row>
    <row r="190" spans="2:5" ht="12.75" customHeight="1" x14ac:dyDescent="0.35">
      <c r="B190" s="31"/>
      <c r="D190" s="31"/>
      <c r="E190" s="31"/>
    </row>
    <row r="191" spans="2:5" ht="12.75" customHeight="1" x14ac:dyDescent="0.35">
      <c r="B191" s="31"/>
      <c r="D191" s="31"/>
      <c r="E191" s="31"/>
    </row>
    <row r="192" spans="2:5" ht="12.75" customHeight="1" x14ac:dyDescent="0.35">
      <c r="B192" s="31"/>
      <c r="D192" s="31"/>
      <c r="E192" s="31"/>
    </row>
    <row r="193" spans="2:5" ht="12.75" customHeight="1" x14ac:dyDescent="0.35">
      <c r="B193" s="31"/>
      <c r="D193" s="31"/>
      <c r="E193" s="31"/>
    </row>
    <row r="194" spans="2:5" ht="12.75" customHeight="1" x14ac:dyDescent="0.35">
      <c r="B194" s="31"/>
      <c r="D194" s="31"/>
      <c r="E194" s="31"/>
    </row>
    <row r="195" spans="2:5" ht="12.75" customHeight="1" x14ac:dyDescent="0.35">
      <c r="B195" s="31"/>
      <c r="D195" s="31"/>
      <c r="E195" s="31"/>
    </row>
    <row r="196" spans="2:5" ht="12.75" customHeight="1" x14ac:dyDescent="0.35">
      <c r="B196" s="31"/>
      <c r="D196" s="31"/>
      <c r="E196" s="31"/>
    </row>
    <row r="197" spans="2:5" ht="12.75" customHeight="1" x14ac:dyDescent="0.35">
      <c r="B197" s="31"/>
      <c r="D197" s="31"/>
      <c r="E197" s="31"/>
    </row>
    <row r="198" spans="2:5" ht="12.75" customHeight="1" x14ac:dyDescent="0.35">
      <c r="B198" s="31"/>
      <c r="D198" s="31"/>
      <c r="E198" s="31"/>
    </row>
    <row r="199" spans="2:5" ht="12.75" customHeight="1" x14ac:dyDescent="0.35">
      <c r="B199" s="31"/>
      <c r="D199" s="31"/>
      <c r="E199" s="31"/>
    </row>
    <row r="200" spans="2:5" ht="12.75" customHeight="1" x14ac:dyDescent="0.35">
      <c r="B200" s="31"/>
      <c r="D200" s="31"/>
      <c r="E200" s="31"/>
    </row>
    <row r="201" spans="2:5" ht="12.75" customHeight="1" x14ac:dyDescent="0.35">
      <c r="B201" s="31"/>
      <c r="D201" s="31"/>
      <c r="E201" s="31"/>
    </row>
    <row r="202" spans="2:5" ht="12.75" customHeight="1" x14ac:dyDescent="0.35">
      <c r="B202" s="31"/>
      <c r="D202" s="31"/>
      <c r="E202" s="31"/>
    </row>
    <row r="203" spans="2:5" ht="12.75" customHeight="1" x14ac:dyDescent="0.35">
      <c r="B203" s="31"/>
      <c r="D203" s="31"/>
      <c r="E203" s="31"/>
    </row>
    <row r="204" spans="2:5" ht="12.75" customHeight="1" x14ac:dyDescent="0.35">
      <c r="B204" s="31"/>
      <c r="D204" s="31"/>
      <c r="E204" s="31"/>
    </row>
    <row r="205" spans="2:5" ht="12.75" customHeight="1" x14ac:dyDescent="0.35">
      <c r="B205" s="31"/>
      <c r="D205" s="31"/>
      <c r="E205" s="31"/>
    </row>
    <row r="206" spans="2:5" ht="12.75" customHeight="1" x14ac:dyDescent="0.35">
      <c r="B206" s="31"/>
      <c r="D206" s="31"/>
      <c r="E206" s="31"/>
    </row>
    <row r="207" spans="2:5" ht="12.75" customHeight="1" x14ac:dyDescent="0.35">
      <c r="B207" s="31"/>
      <c r="D207" s="31"/>
      <c r="E207" s="31"/>
    </row>
    <row r="208" spans="2:5" ht="12.75" customHeight="1" x14ac:dyDescent="0.35">
      <c r="B208" s="31"/>
      <c r="D208" s="31"/>
      <c r="E208" s="31"/>
    </row>
    <row r="209" spans="2:5" ht="12.75" customHeight="1" x14ac:dyDescent="0.35">
      <c r="B209" s="31"/>
      <c r="D209" s="31"/>
      <c r="E209" s="31"/>
    </row>
    <row r="210" spans="2:5" ht="12.75" customHeight="1" x14ac:dyDescent="0.35">
      <c r="B210" s="31"/>
      <c r="D210" s="31"/>
      <c r="E210" s="31"/>
    </row>
    <row r="211" spans="2:5" ht="12.75" customHeight="1" x14ac:dyDescent="0.35">
      <c r="B211" s="31"/>
      <c r="D211" s="31"/>
      <c r="E211" s="31"/>
    </row>
    <row r="212" spans="2:5" ht="12.75" customHeight="1" x14ac:dyDescent="0.35">
      <c r="B212" s="31"/>
      <c r="D212" s="31"/>
      <c r="E212" s="31"/>
    </row>
    <row r="213" spans="2:5" ht="12.75" customHeight="1" x14ac:dyDescent="0.35">
      <c r="B213" s="31"/>
      <c r="D213" s="31"/>
      <c r="E213" s="31"/>
    </row>
    <row r="214" spans="2:5" ht="12.75" customHeight="1" x14ac:dyDescent="0.35">
      <c r="B214" s="31"/>
      <c r="D214" s="31"/>
      <c r="E214" s="31"/>
    </row>
    <row r="215" spans="2:5" ht="12.75" customHeight="1" x14ac:dyDescent="0.35">
      <c r="B215" s="31"/>
      <c r="D215" s="31"/>
      <c r="E215" s="31"/>
    </row>
    <row r="216" spans="2:5" ht="12.75" customHeight="1" x14ac:dyDescent="0.35">
      <c r="B216" s="31"/>
      <c r="D216" s="31"/>
      <c r="E216" s="31"/>
    </row>
    <row r="217" spans="2:5" ht="12.75" customHeight="1" x14ac:dyDescent="0.35">
      <c r="B217" s="31"/>
      <c r="D217" s="31"/>
      <c r="E217" s="31"/>
    </row>
    <row r="218" spans="2:5" ht="12.75" customHeight="1" x14ac:dyDescent="0.35">
      <c r="B218" s="31"/>
      <c r="D218" s="31"/>
      <c r="E218" s="31"/>
    </row>
    <row r="219" spans="2:5" ht="12.75" customHeight="1" x14ac:dyDescent="0.35">
      <c r="B219" s="31"/>
      <c r="D219" s="31"/>
      <c r="E219" s="31"/>
    </row>
    <row r="220" spans="2:5" ht="12.75" customHeight="1" x14ac:dyDescent="0.35">
      <c r="B220" s="31"/>
      <c r="D220" s="31"/>
      <c r="E220" s="31"/>
    </row>
    <row r="221" spans="2:5" ht="12.75" customHeight="1" x14ac:dyDescent="0.35">
      <c r="B221" s="31"/>
      <c r="D221" s="31"/>
      <c r="E221" s="31"/>
    </row>
    <row r="222" spans="2:5" ht="12.75" customHeight="1" x14ac:dyDescent="0.35">
      <c r="B222" s="31"/>
      <c r="D222" s="31"/>
      <c r="E222" s="31"/>
    </row>
    <row r="223" spans="2:5" ht="12.75" customHeight="1" x14ac:dyDescent="0.35">
      <c r="B223" s="31"/>
      <c r="D223" s="31"/>
      <c r="E223" s="31"/>
    </row>
    <row r="224" spans="2:5" ht="12.75" customHeight="1" x14ac:dyDescent="0.35">
      <c r="B224" s="31"/>
      <c r="D224" s="31"/>
      <c r="E224" s="31"/>
    </row>
    <row r="225" spans="2:5" ht="12.75" customHeight="1" x14ac:dyDescent="0.35">
      <c r="B225" s="31"/>
      <c r="D225" s="31"/>
      <c r="E225" s="31"/>
    </row>
    <row r="226" spans="2:5" ht="12.75" customHeight="1" x14ac:dyDescent="0.35">
      <c r="B226" s="31"/>
      <c r="D226" s="31"/>
      <c r="E226" s="31"/>
    </row>
    <row r="227" spans="2:5" ht="12.75" customHeight="1" x14ac:dyDescent="0.35">
      <c r="B227" s="31"/>
      <c r="D227" s="31"/>
      <c r="E227" s="31"/>
    </row>
    <row r="228" spans="2:5" ht="12.75" customHeight="1" x14ac:dyDescent="0.35">
      <c r="B228" s="31"/>
      <c r="D228" s="31"/>
      <c r="E228" s="31"/>
    </row>
    <row r="229" spans="2:5" ht="12.75" customHeight="1" x14ac:dyDescent="0.35">
      <c r="B229" s="31"/>
      <c r="D229" s="31"/>
      <c r="E229" s="31"/>
    </row>
    <row r="230" spans="2:5" ht="12.75" customHeight="1" x14ac:dyDescent="0.35">
      <c r="B230" s="31"/>
      <c r="D230" s="31"/>
      <c r="E230" s="31"/>
    </row>
    <row r="231" spans="2:5" ht="12.75" customHeight="1" x14ac:dyDescent="0.35">
      <c r="B231" s="31"/>
      <c r="D231" s="31"/>
      <c r="E231" s="31"/>
    </row>
    <row r="232" spans="2:5" ht="12.75" customHeight="1" x14ac:dyDescent="0.35">
      <c r="B232" s="31"/>
      <c r="D232" s="31"/>
      <c r="E232" s="31"/>
    </row>
    <row r="233" spans="2:5" ht="12.75" customHeight="1" x14ac:dyDescent="0.35">
      <c r="B233" s="31"/>
      <c r="D233" s="31"/>
      <c r="E233" s="31"/>
    </row>
    <row r="234" spans="2:5" ht="12.75" customHeight="1" x14ac:dyDescent="0.35">
      <c r="B234" s="31"/>
      <c r="D234" s="31"/>
      <c r="E234" s="31"/>
    </row>
    <row r="235" spans="2:5" ht="12.75" customHeight="1" x14ac:dyDescent="0.35">
      <c r="B235" s="31"/>
      <c r="D235" s="31"/>
      <c r="E235" s="31"/>
    </row>
    <row r="236" spans="2:5" ht="12.75" customHeight="1" x14ac:dyDescent="0.35">
      <c r="B236" s="31"/>
      <c r="D236" s="31"/>
      <c r="E236" s="31"/>
    </row>
    <row r="237" spans="2:5" ht="12.75" customHeight="1" x14ac:dyDescent="0.35">
      <c r="B237" s="31"/>
      <c r="D237" s="31"/>
      <c r="E237" s="31"/>
    </row>
    <row r="238" spans="2:5" ht="12.75" customHeight="1" x14ac:dyDescent="0.35">
      <c r="B238" s="31"/>
      <c r="D238" s="31"/>
      <c r="E238" s="31"/>
    </row>
    <row r="239" spans="2:5" ht="12.75" customHeight="1" x14ac:dyDescent="0.35">
      <c r="B239" s="31"/>
      <c r="D239" s="31"/>
      <c r="E239" s="31"/>
    </row>
    <row r="240" spans="2:5" ht="12.75" customHeight="1" x14ac:dyDescent="0.35">
      <c r="B240" s="31"/>
      <c r="D240" s="31"/>
      <c r="E240" s="31"/>
    </row>
    <row r="241" spans="2:5" ht="12.75" customHeight="1" x14ac:dyDescent="0.35">
      <c r="B241" s="31"/>
      <c r="D241" s="31"/>
      <c r="E241" s="31"/>
    </row>
    <row r="242" spans="2:5" ht="12.75" customHeight="1" x14ac:dyDescent="0.35">
      <c r="B242" s="31"/>
      <c r="D242" s="31"/>
      <c r="E242" s="31"/>
    </row>
    <row r="243" spans="2:5" ht="12.75" customHeight="1" x14ac:dyDescent="0.35">
      <c r="B243" s="31"/>
      <c r="D243" s="31"/>
      <c r="E243" s="31"/>
    </row>
    <row r="244" spans="2:5" ht="12.75" customHeight="1" x14ac:dyDescent="0.35">
      <c r="B244" s="31"/>
      <c r="D244" s="31"/>
      <c r="E244" s="31"/>
    </row>
    <row r="245" spans="2:5" ht="12.75" customHeight="1" x14ac:dyDescent="0.35">
      <c r="B245" s="31"/>
      <c r="D245" s="31"/>
      <c r="E245" s="31"/>
    </row>
    <row r="246" spans="2:5" ht="12.75" customHeight="1" x14ac:dyDescent="0.35">
      <c r="B246" s="31"/>
      <c r="D246" s="31"/>
      <c r="E246" s="31"/>
    </row>
    <row r="247" spans="2:5" ht="12.75" customHeight="1" x14ac:dyDescent="0.35">
      <c r="B247" s="31"/>
      <c r="D247" s="31"/>
      <c r="E247" s="31"/>
    </row>
    <row r="248" spans="2:5" ht="12.75" customHeight="1" x14ac:dyDescent="0.35">
      <c r="B248" s="31"/>
      <c r="D248" s="31"/>
      <c r="E248" s="31"/>
    </row>
    <row r="249" spans="2:5" ht="12.75" customHeight="1" x14ac:dyDescent="0.35">
      <c r="B249" s="31"/>
      <c r="D249" s="31"/>
      <c r="E249" s="31"/>
    </row>
    <row r="250" spans="2:5" ht="12.75" customHeight="1" x14ac:dyDescent="0.35">
      <c r="B250" s="31"/>
      <c r="D250" s="31"/>
      <c r="E250" s="31"/>
    </row>
    <row r="251" spans="2:5" ht="12.75" customHeight="1" x14ac:dyDescent="0.35">
      <c r="B251" s="31"/>
      <c r="D251" s="31"/>
      <c r="E251" s="31"/>
    </row>
    <row r="252" spans="2:5" ht="12.75" customHeight="1" x14ac:dyDescent="0.35">
      <c r="B252" s="31"/>
      <c r="D252" s="31"/>
      <c r="E252" s="31"/>
    </row>
    <row r="253" spans="2:5" ht="12.75" customHeight="1" x14ac:dyDescent="0.35">
      <c r="B253" s="31"/>
      <c r="D253" s="31"/>
      <c r="E253" s="31"/>
    </row>
    <row r="254" spans="2:5" ht="12.75" customHeight="1" x14ac:dyDescent="0.35">
      <c r="B254" s="31"/>
      <c r="D254" s="31"/>
      <c r="E254" s="31"/>
    </row>
    <row r="255" spans="2:5" ht="12.75" customHeight="1" x14ac:dyDescent="0.35">
      <c r="B255" s="31"/>
      <c r="D255" s="31"/>
      <c r="E255" s="31"/>
    </row>
    <row r="256" spans="2:5" ht="12.75" customHeight="1" x14ac:dyDescent="0.35">
      <c r="B256" s="31"/>
      <c r="D256" s="31"/>
      <c r="E256" s="31"/>
    </row>
    <row r="257" spans="2:5" ht="12.75" customHeight="1" x14ac:dyDescent="0.35">
      <c r="B257" s="31"/>
      <c r="D257" s="31"/>
      <c r="E257" s="31"/>
    </row>
    <row r="258" spans="2:5" ht="12.75" customHeight="1" x14ac:dyDescent="0.35">
      <c r="B258" s="31"/>
      <c r="D258" s="31"/>
      <c r="E258" s="31"/>
    </row>
    <row r="259" spans="2:5" ht="12.75" customHeight="1" x14ac:dyDescent="0.35">
      <c r="B259" s="31"/>
      <c r="D259" s="31"/>
      <c r="E259" s="31"/>
    </row>
    <row r="260" spans="2:5" ht="12.75" customHeight="1" x14ac:dyDescent="0.35">
      <c r="B260" s="31"/>
      <c r="D260" s="31"/>
      <c r="E260" s="31"/>
    </row>
    <row r="261" spans="2:5" ht="12.75" customHeight="1" x14ac:dyDescent="0.35">
      <c r="B261" s="31"/>
      <c r="D261" s="31"/>
      <c r="E261" s="31"/>
    </row>
    <row r="262" spans="2:5" ht="12.75" customHeight="1" x14ac:dyDescent="0.35">
      <c r="B262" s="31"/>
      <c r="D262" s="31"/>
      <c r="E262" s="31"/>
    </row>
    <row r="263" spans="2:5" ht="12.75" customHeight="1" x14ac:dyDescent="0.35">
      <c r="B263" s="31"/>
      <c r="D263" s="31"/>
      <c r="E263" s="31"/>
    </row>
    <row r="264" spans="2:5" ht="12.75" customHeight="1" x14ac:dyDescent="0.35">
      <c r="B264" s="31"/>
      <c r="D264" s="31"/>
      <c r="E264" s="31"/>
    </row>
    <row r="265" spans="2:5" ht="12.75" customHeight="1" x14ac:dyDescent="0.35">
      <c r="B265" s="31"/>
      <c r="D265" s="31"/>
      <c r="E265" s="31"/>
    </row>
    <row r="266" spans="2:5" ht="12.75" customHeight="1" x14ac:dyDescent="0.35">
      <c r="B266" s="31"/>
      <c r="D266" s="31"/>
      <c r="E266" s="31"/>
    </row>
    <row r="267" spans="2:5" ht="12.75" customHeight="1" x14ac:dyDescent="0.35">
      <c r="B267" s="31"/>
      <c r="D267" s="31"/>
      <c r="E267" s="31"/>
    </row>
    <row r="268" spans="2:5" ht="12.75" customHeight="1" x14ac:dyDescent="0.35">
      <c r="B268" s="31"/>
      <c r="D268" s="31"/>
      <c r="E268" s="31"/>
    </row>
    <row r="269" spans="2:5" ht="12.75" customHeight="1" x14ac:dyDescent="0.35">
      <c r="B269" s="31"/>
      <c r="D269" s="31"/>
      <c r="E269" s="31"/>
    </row>
    <row r="270" spans="2:5" ht="12.75" customHeight="1" x14ac:dyDescent="0.35">
      <c r="B270" s="31"/>
      <c r="D270" s="31"/>
      <c r="E270" s="31"/>
    </row>
    <row r="271" spans="2:5" ht="12.75" customHeight="1" x14ac:dyDescent="0.35">
      <c r="B271" s="31"/>
      <c r="D271" s="31"/>
      <c r="E271" s="31"/>
    </row>
    <row r="272" spans="2:5" ht="12.75" customHeight="1" x14ac:dyDescent="0.35">
      <c r="B272" s="31"/>
      <c r="D272" s="31"/>
      <c r="E272" s="31"/>
    </row>
    <row r="273" spans="2:5" ht="12.75" customHeight="1" x14ac:dyDescent="0.35">
      <c r="B273" s="31"/>
      <c r="D273" s="31"/>
      <c r="E273" s="31"/>
    </row>
    <row r="274" spans="2:5" ht="12.75" customHeight="1" x14ac:dyDescent="0.35">
      <c r="B274" s="31"/>
      <c r="D274" s="31"/>
      <c r="E274" s="31"/>
    </row>
    <row r="275" spans="2:5" ht="12.75" customHeight="1" x14ac:dyDescent="0.35">
      <c r="B275" s="31"/>
      <c r="D275" s="31"/>
      <c r="E275" s="31"/>
    </row>
    <row r="276" spans="2:5" ht="12.75" customHeight="1" x14ac:dyDescent="0.35">
      <c r="B276" s="31"/>
      <c r="D276" s="31"/>
      <c r="E276" s="31"/>
    </row>
    <row r="277" spans="2:5" ht="12.75" customHeight="1" x14ac:dyDescent="0.35">
      <c r="B277" s="31"/>
      <c r="D277" s="31"/>
      <c r="E277" s="31"/>
    </row>
    <row r="278" spans="2:5" ht="12.75" customHeight="1" x14ac:dyDescent="0.35">
      <c r="B278" s="31"/>
      <c r="D278" s="31"/>
      <c r="E278" s="31"/>
    </row>
    <row r="279" spans="2:5" ht="12.75" customHeight="1" x14ac:dyDescent="0.35">
      <c r="B279" s="31"/>
      <c r="D279" s="31"/>
      <c r="E279" s="31"/>
    </row>
    <row r="280" spans="2:5" ht="12.75" customHeight="1" x14ac:dyDescent="0.35">
      <c r="B280" s="31"/>
      <c r="D280" s="31"/>
      <c r="E280" s="31"/>
    </row>
    <row r="281" spans="2:5" ht="12.75" customHeight="1" x14ac:dyDescent="0.35">
      <c r="B281" s="31"/>
      <c r="D281" s="31"/>
      <c r="E281" s="31"/>
    </row>
    <row r="282" spans="2:5" ht="12.75" customHeight="1" x14ac:dyDescent="0.35">
      <c r="B282" s="31"/>
      <c r="D282" s="31"/>
      <c r="E282" s="31"/>
    </row>
    <row r="283" spans="2:5" ht="12.75" customHeight="1" x14ac:dyDescent="0.35">
      <c r="B283" s="31"/>
      <c r="D283" s="31"/>
      <c r="E283" s="31"/>
    </row>
    <row r="284" spans="2:5" ht="12.75" customHeight="1" x14ac:dyDescent="0.35">
      <c r="B284" s="31"/>
      <c r="D284" s="31"/>
      <c r="E284" s="31"/>
    </row>
    <row r="285" spans="2:5" ht="12.75" customHeight="1" x14ac:dyDescent="0.35">
      <c r="B285" s="31"/>
      <c r="D285" s="31"/>
      <c r="E285" s="31"/>
    </row>
    <row r="286" spans="2:5" ht="12.75" customHeight="1" x14ac:dyDescent="0.35">
      <c r="B286" s="31"/>
      <c r="D286" s="31"/>
      <c r="E286" s="31"/>
    </row>
    <row r="287" spans="2:5" ht="12.75" customHeight="1" x14ac:dyDescent="0.35">
      <c r="B287" s="31"/>
      <c r="D287" s="31"/>
      <c r="E287" s="31"/>
    </row>
    <row r="288" spans="2:5" ht="12.75" customHeight="1" x14ac:dyDescent="0.35">
      <c r="B288" s="31"/>
      <c r="D288" s="31"/>
      <c r="E288" s="31"/>
    </row>
    <row r="289" spans="2:5" ht="12.75" customHeight="1" x14ac:dyDescent="0.35">
      <c r="B289" s="31"/>
      <c r="D289" s="31"/>
      <c r="E289" s="31"/>
    </row>
    <row r="290" spans="2:5" ht="12.75" customHeight="1" x14ac:dyDescent="0.35">
      <c r="B290" s="31"/>
      <c r="D290" s="31"/>
      <c r="E290" s="31"/>
    </row>
    <row r="291" spans="2:5" ht="12.75" customHeight="1" x14ac:dyDescent="0.35">
      <c r="B291" s="31"/>
      <c r="D291" s="31"/>
      <c r="E291" s="31"/>
    </row>
    <row r="292" spans="2:5" ht="12.75" customHeight="1" x14ac:dyDescent="0.35">
      <c r="B292" s="31"/>
      <c r="D292" s="31"/>
      <c r="E292" s="31"/>
    </row>
    <row r="293" spans="2:5" ht="12.75" customHeight="1" x14ac:dyDescent="0.35">
      <c r="B293" s="31"/>
      <c r="D293" s="31"/>
      <c r="E293" s="31"/>
    </row>
    <row r="294" spans="2:5" ht="12.75" customHeight="1" x14ac:dyDescent="0.35">
      <c r="B294" s="31"/>
      <c r="D294" s="31"/>
      <c r="E294" s="31"/>
    </row>
    <row r="295" spans="2:5" ht="12.75" customHeight="1" x14ac:dyDescent="0.35">
      <c r="B295" s="31"/>
      <c r="D295" s="31"/>
      <c r="E295" s="31"/>
    </row>
    <row r="296" spans="2:5" ht="12.75" customHeight="1" x14ac:dyDescent="0.35">
      <c r="B296" s="31"/>
      <c r="D296" s="31"/>
      <c r="E296" s="31"/>
    </row>
    <row r="297" spans="2:5" ht="12.75" customHeight="1" x14ac:dyDescent="0.35">
      <c r="B297" s="31"/>
      <c r="D297" s="31"/>
      <c r="E297" s="31"/>
    </row>
    <row r="298" spans="2:5" ht="12.75" customHeight="1" x14ac:dyDescent="0.35">
      <c r="B298" s="31"/>
      <c r="D298" s="31"/>
      <c r="E298" s="31"/>
    </row>
    <row r="299" spans="2:5" ht="12.75" customHeight="1" x14ac:dyDescent="0.35">
      <c r="B299" s="31"/>
      <c r="D299" s="31"/>
      <c r="E299" s="31"/>
    </row>
    <row r="300" spans="2:5" ht="12.75" customHeight="1" x14ac:dyDescent="0.35">
      <c r="B300" s="31"/>
      <c r="D300" s="31"/>
      <c r="E300" s="31"/>
    </row>
    <row r="301" spans="2:5" ht="12.75" customHeight="1" x14ac:dyDescent="0.35">
      <c r="B301" s="31"/>
      <c r="D301" s="31"/>
      <c r="E301" s="31"/>
    </row>
    <row r="302" spans="2:5" ht="12.75" customHeight="1" x14ac:dyDescent="0.35">
      <c r="B302" s="31"/>
      <c r="D302" s="31"/>
      <c r="E302" s="31"/>
    </row>
    <row r="303" spans="2:5" ht="12.75" customHeight="1" x14ac:dyDescent="0.35">
      <c r="B303" s="31"/>
      <c r="D303" s="31"/>
      <c r="E303" s="31"/>
    </row>
  </sheetData>
  <sheetProtection algorithmName="SHA-512" hashValue="OJiEsq5MgjDCO2DEwgEZMF6IQqG71n0rz19Li4MeCoF6hkorsI2TyUjHx5XP8kyhH1PbkIT1W3ornPO24qAK1A==" saltValue="DHxAOjDRa0UcCkvRpbjZ/g==" spinCount="100000" sheet="1" objects="1" scenario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BC74-0370-4ECC-8AC1-EF2859D91DE3}">
  <sheetPr codeName="Sheet8"/>
  <dimension ref="B1:W302"/>
  <sheetViews>
    <sheetView workbookViewId="0">
      <selection activeCell="B83" sqref="B83"/>
    </sheetView>
  </sheetViews>
  <sheetFormatPr defaultRowHeight="12.75" x14ac:dyDescent="0.35"/>
  <cols>
    <col min="2" max="2" width="43.86328125" bestFit="1" customWidth="1"/>
    <col min="3" max="3" width="12.265625" style="31" hidden="1" customWidth="1"/>
    <col min="4" max="4" width="13.06640625" hidden="1" customWidth="1"/>
    <col min="5" max="5" width="13.06640625" style="34" hidden="1" customWidth="1"/>
    <col min="6" max="6" width="13.06640625" style="69" hidden="1" customWidth="1"/>
    <col min="7" max="8" width="12" hidden="1" customWidth="1"/>
    <col min="9" max="11" width="9.796875" bestFit="1" customWidth="1"/>
    <col min="12" max="12" width="11.06640625" bestFit="1" customWidth="1"/>
    <col min="14" max="16" width="9.796875" bestFit="1" customWidth="1"/>
    <col min="17" max="17" width="11.06640625" bestFit="1" customWidth="1"/>
    <col min="19" max="21" width="9.796875" bestFit="1" customWidth="1"/>
    <col min="22" max="22" width="11.06640625" bestFit="1" customWidth="1"/>
    <col min="23" max="23" width="63.796875" customWidth="1"/>
  </cols>
  <sheetData>
    <row r="1" spans="2:23" ht="12.75" customHeight="1" x14ac:dyDescent="0.35">
      <c r="B1" s="145" t="s">
        <v>304</v>
      </c>
      <c r="C1" s="76"/>
      <c r="D1" s="52"/>
      <c r="E1" s="52"/>
      <c r="F1" s="68"/>
    </row>
    <row r="2" spans="2:23" ht="12.75" customHeight="1" x14ac:dyDescent="0.35">
      <c r="B2" s="52"/>
      <c r="C2" s="76"/>
      <c r="D2" s="52"/>
      <c r="E2" s="52"/>
      <c r="F2" s="68"/>
    </row>
    <row r="3" spans="2:23" ht="12.75" customHeight="1" x14ac:dyDescent="0.35">
      <c r="B3" s="52"/>
      <c r="C3" s="76"/>
      <c r="D3" s="52"/>
      <c r="E3" s="52"/>
      <c r="F3" s="68"/>
    </row>
    <row r="4" spans="2:23" ht="12.75" customHeight="1" x14ac:dyDescent="0.35">
      <c r="B4" s="52"/>
      <c r="C4" s="76"/>
      <c r="D4" s="52"/>
      <c r="E4" s="52"/>
      <c r="F4" s="68"/>
    </row>
    <row r="5" spans="2:23" ht="12.75" customHeight="1" x14ac:dyDescent="0.35">
      <c r="B5" s="52"/>
      <c r="C5" s="76"/>
      <c r="D5" s="52"/>
      <c r="E5" s="52"/>
      <c r="F5" s="68"/>
    </row>
    <row r="6" spans="2:23" ht="15.4" customHeight="1" thickBot="1" x14ac:dyDescent="0.4">
      <c r="B6" s="136"/>
      <c r="C6" s="76"/>
      <c r="D6" s="52"/>
      <c r="E6" s="52"/>
      <c r="F6" s="68"/>
    </row>
    <row r="7" spans="2:23" ht="12.75" customHeight="1" thickTop="1" x14ac:dyDescent="0.35">
      <c r="I7" s="202" t="s">
        <v>294</v>
      </c>
      <c r="J7" s="207"/>
      <c r="K7" s="188"/>
      <c r="L7" s="189"/>
      <c r="N7" s="202" t="s">
        <v>224</v>
      </c>
      <c r="O7" s="236" t="str">
        <f>B1</f>
        <v>Option C</v>
      </c>
      <c r="P7" s="188"/>
      <c r="Q7" s="189"/>
      <c r="S7" s="202" t="s">
        <v>295</v>
      </c>
      <c r="T7" s="207"/>
      <c r="U7" s="188"/>
      <c r="V7" s="189"/>
    </row>
    <row r="8" spans="2:23" ht="12.75" customHeight="1" x14ac:dyDescent="0.35">
      <c r="C8" s="77"/>
      <c r="F8" s="144" t="s">
        <v>140</v>
      </c>
      <c r="G8" s="144" t="s">
        <v>140</v>
      </c>
      <c r="I8" s="208"/>
      <c r="J8" s="209"/>
      <c r="K8" s="190" t="s">
        <v>140</v>
      </c>
      <c r="L8" s="191" t="s">
        <v>140</v>
      </c>
      <c r="N8" s="208"/>
      <c r="O8" s="209"/>
      <c r="P8" s="190" t="s">
        <v>140</v>
      </c>
      <c r="Q8" s="191" t="s">
        <v>140</v>
      </c>
      <c r="S8" s="208"/>
      <c r="T8" s="209"/>
      <c r="U8" s="190" t="s">
        <v>140</v>
      </c>
      <c r="V8" s="191" t="s">
        <v>140</v>
      </c>
    </row>
    <row r="9" spans="2:23" ht="12.75" customHeight="1" thickBot="1" x14ac:dyDescent="0.4">
      <c r="B9" s="4"/>
      <c r="C9" s="78"/>
      <c r="D9" s="47">
        <v>43983</v>
      </c>
      <c r="E9" s="46">
        <v>44348</v>
      </c>
      <c r="F9" s="70">
        <v>44713</v>
      </c>
      <c r="G9" s="130" t="s">
        <v>238</v>
      </c>
      <c r="I9" s="192">
        <v>43983</v>
      </c>
      <c r="J9" s="193">
        <v>44348</v>
      </c>
      <c r="K9" s="194">
        <v>44713</v>
      </c>
      <c r="L9" s="195" t="s">
        <v>238</v>
      </c>
      <c r="N9" s="192">
        <v>43983</v>
      </c>
      <c r="O9" s="193">
        <v>44348</v>
      </c>
      <c r="P9" s="194">
        <v>44713</v>
      </c>
      <c r="Q9" s="195" t="s">
        <v>238</v>
      </c>
      <c r="S9" s="192">
        <v>43983</v>
      </c>
      <c r="T9" s="193">
        <v>44348</v>
      </c>
      <c r="U9" s="194">
        <v>44713</v>
      </c>
      <c r="V9" s="195" t="s">
        <v>238</v>
      </c>
    </row>
    <row r="10" spans="2:23" ht="12.75" customHeight="1" thickTop="1" thickBot="1" x14ac:dyDescent="0.4">
      <c r="C10" s="79"/>
      <c r="D10" s="9" t="s">
        <v>223</v>
      </c>
      <c r="E10" s="44" t="s">
        <v>131</v>
      </c>
      <c r="F10" s="9" t="s">
        <v>131</v>
      </c>
      <c r="G10" s="9" t="s">
        <v>131</v>
      </c>
      <c r="I10" s="203" t="s">
        <v>223</v>
      </c>
      <c r="J10" s="204" t="s">
        <v>131</v>
      </c>
      <c r="K10" s="205" t="s">
        <v>131</v>
      </c>
      <c r="L10" s="206" t="s">
        <v>131</v>
      </c>
      <c r="N10" s="203" t="s">
        <v>223</v>
      </c>
      <c r="O10" s="204" t="s">
        <v>131</v>
      </c>
      <c r="P10" s="205" t="s">
        <v>131</v>
      </c>
      <c r="Q10" s="206" t="s">
        <v>131</v>
      </c>
      <c r="S10" s="203" t="s">
        <v>223</v>
      </c>
      <c r="T10" s="204" t="s">
        <v>131</v>
      </c>
      <c r="U10" s="205" t="s">
        <v>131</v>
      </c>
      <c r="V10" s="225" t="s">
        <v>131</v>
      </c>
      <c r="W10" s="233" t="s">
        <v>297</v>
      </c>
    </row>
    <row r="11" spans="2:23" ht="12.75" customHeight="1" thickTop="1" x14ac:dyDescent="0.35">
      <c r="B11" s="3" t="s">
        <v>3</v>
      </c>
      <c r="G11" s="129"/>
      <c r="I11" s="210"/>
      <c r="J11" s="211"/>
      <c r="K11" s="211"/>
      <c r="L11" s="212"/>
      <c r="N11" s="210"/>
      <c r="O11" s="211"/>
      <c r="P11" s="211"/>
      <c r="Q11" s="212"/>
      <c r="S11" s="210"/>
      <c r="T11" s="211"/>
      <c r="U11" s="211"/>
      <c r="V11" s="226"/>
      <c r="W11" s="234"/>
    </row>
    <row r="12" spans="2:23" ht="12.75" customHeight="1" x14ac:dyDescent="0.35">
      <c r="B12" s="3" t="s">
        <v>4</v>
      </c>
      <c r="C12" s="81"/>
      <c r="D12" s="103">
        <v>45700</v>
      </c>
      <c r="E12" s="103">
        <v>36700</v>
      </c>
      <c r="F12" s="103">
        <v>36700</v>
      </c>
      <c r="G12" s="103">
        <f>'BASE - Pre CV-19'!O19</f>
        <v>23700</v>
      </c>
      <c r="I12" s="196">
        <f>D12</f>
        <v>45700</v>
      </c>
      <c r="J12" s="197">
        <f t="shared" ref="J12:L12" si="0">E12</f>
        <v>36700</v>
      </c>
      <c r="K12" s="197">
        <f t="shared" si="0"/>
        <v>36700</v>
      </c>
      <c r="L12" s="198">
        <f t="shared" si="0"/>
        <v>23700</v>
      </c>
      <c r="M12" s="138"/>
      <c r="N12" s="196">
        <f>D13</f>
        <v>33984</v>
      </c>
      <c r="O12" s="197">
        <f t="shared" ref="O12:Q12" si="1">E13</f>
        <v>27500</v>
      </c>
      <c r="P12" s="197">
        <f t="shared" si="1"/>
        <v>27500</v>
      </c>
      <c r="Q12" s="198">
        <f t="shared" si="1"/>
        <v>23700</v>
      </c>
      <c r="R12" s="138"/>
      <c r="S12" s="196">
        <f>N12-I12</f>
        <v>-11716</v>
      </c>
      <c r="T12" s="197">
        <f t="shared" ref="T12:V12" si="2">O12-J12</f>
        <v>-9200</v>
      </c>
      <c r="U12" s="197">
        <f t="shared" si="2"/>
        <v>-9200</v>
      </c>
      <c r="V12" s="227">
        <f t="shared" si="2"/>
        <v>0</v>
      </c>
      <c r="W12" s="234" t="s">
        <v>298</v>
      </c>
    </row>
    <row r="13" spans="2:23" ht="12.75" customHeight="1" x14ac:dyDescent="0.35">
      <c r="C13" s="100" t="s">
        <v>224</v>
      </c>
      <c r="D13" s="104">
        <v>33984</v>
      </c>
      <c r="E13" s="105">
        <v>27500</v>
      </c>
      <c r="F13" s="104">
        <v>27500</v>
      </c>
      <c r="G13" s="104">
        <f>G12</f>
        <v>23700</v>
      </c>
      <c r="I13" s="213"/>
      <c r="J13" s="214"/>
      <c r="K13" s="214"/>
      <c r="L13" s="215"/>
      <c r="N13" s="213"/>
      <c r="O13" s="214"/>
      <c r="P13" s="214"/>
      <c r="Q13" s="215"/>
      <c r="S13" s="213"/>
      <c r="T13" s="214"/>
      <c r="U13" s="214"/>
      <c r="V13" s="228"/>
      <c r="W13" s="234"/>
    </row>
    <row r="14" spans="2:23" ht="12.75" customHeight="1" x14ac:dyDescent="0.35">
      <c r="B14" s="3" t="s">
        <v>10</v>
      </c>
      <c r="D14" s="106"/>
      <c r="E14" s="107"/>
      <c r="F14" s="108"/>
      <c r="I14" s="210"/>
      <c r="J14" s="211"/>
      <c r="K14" s="211"/>
      <c r="L14" s="211"/>
      <c r="N14" s="210"/>
      <c r="O14" s="211"/>
      <c r="P14" s="211"/>
      <c r="Q14" s="211"/>
      <c r="S14" s="210"/>
      <c r="T14" s="211"/>
      <c r="U14" s="211"/>
      <c r="V14" s="226"/>
      <c r="W14" s="234"/>
    </row>
    <row r="15" spans="2:23" ht="12.75" customHeight="1" x14ac:dyDescent="0.35">
      <c r="B15" s="3" t="s">
        <v>11</v>
      </c>
      <c r="D15" s="103">
        <v>181992.66750000001</v>
      </c>
      <c r="E15" s="103">
        <v>191092.30087500002</v>
      </c>
      <c r="F15" s="103">
        <v>200646.91591875005</v>
      </c>
      <c r="G15" s="103">
        <f>'BASE - Pre CV-19'!O31</f>
        <v>210679.26171468751</v>
      </c>
      <c r="I15" s="196">
        <f>D15</f>
        <v>181992.66750000001</v>
      </c>
      <c r="J15" s="197">
        <f t="shared" ref="J15:L15" si="3">E15</f>
        <v>191092.30087500002</v>
      </c>
      <c r="K15" s="197">
        <f t="shared" si="3"/>
        <v>200646.91591875005</v>
      </c>
      <c r="L15" s="198">
        <f t="shared" si="3"/>
        <v>210679.26171468751</v>
      </c>
      <c r="M15" s="138"/>
      <c r="N15" s="196">
        <f>D16</f>
        <v>192659</v>
      </c>
      <c r="O15" s="197">
        <f t="shared" ref="O15:Q15" si="4">E16</f>
        <v>192109</v>
      </c>
      <c r="P15" s="197">
        <f t="shared" si="4"/>
        <v>201704</v>
      </c>
      <c r="Q15" s="198">
        <f t="shared" si="4"/>
        <v>210679.26171468751</v>
      </c>
      <c r="R15" s="138"/>
      <c r="S15" s="196">
        <f>N15-I15</f>
        <v>10666.33249999999</v>
      </c>
      <c r="T15" s="197">
        <f t="shared" ref="T15:V15" si="5">O15-J15</f>
        <v>1016.6991249999846</v>
      </c>
      <c r="U15" s="197">
        <f t="shared" si="5"/>
        <v>1057.0840812499519</v>
      </c>
      <c r="V15" s="227">
        <f t="shared" si="5"/>
        <v>0</v>
      </c>
      <c r="W15" s="234"/>
    </row>
    <row r="16" spans="2:23" ht="12.75" customHeight="1" x14ac:dyDescent="0.35">
      <c r="C16" s="100" t="s">
        <v>224</v>
      </c>
      <c r="D16" s="105">
        <v>192659</v>
      </c>
      <c r="E16" s="105">
        <v>192109</v>
      </c>
      <c r="F16" s="105">
        <v>201704</v>
      </c>
      <c r="G16" s="105">
        <f>G15</f>
        <v>210679.26171468751</v>
      </c>
      <c r="I16" s="216"/>
      <c r="J16" s="217"/>
      <c r="K16" s="217"/>
      <c r="L16" s="218"/>
      <c r="M16" s="138"/>
      <c r="N16" s="216"/>
      <c r="O16" s="217"/>
      <c r="P16" s="217"/>
      <c r="Q16" s="218"/>
      <c r="R16" s="138"/>
      <c r="S16" s="216"/>
      <c r="T16" s="217"/>
      <c r="U16" s="217"/>
      <c r="V16" s="229"/>
      <c r="W16" s="234"/>
    </row>
    <row r="17" spans="2:23" ht="12.75" customHeight="1" x14ac:dyDescent="0.35">
      <c r="B17" s="3" t="s">
        <v>19</v>
      </c>
      <c r="C17" s="81"/>
      <c r="D17" s="103">
        <v>274023.0999545455</v>
      </c>
      <c r="E17" s="103">
        <v>287724.25495227281</v>
      </c>
      <c r="F17" s="103">
        <v>302110.46769988647</v>
      </c>
      <c r="G17" s="103">
        <f>'BASE - Pre CV-19'!O39</f>
        <v>290842.64897795231</v>
      </c>
      <c r="H17" s="133"/>
      <c r="I17" s="196">
        <f>D17</f>
        <v>274023.0999545455</v>
      </c>
      <c r="J17" s="197">
        <f t="shared" ref="J17:L17" si="6">E17</f>
        <v>287724.25495227281</v>
      </c>
      <c r="K17" s="197">
        <f t="shared" si="6"/>
        <v>302110.46769988647</v>
      </c>
      <c r="L17" s="198">
        <f t="shared" si="6"/>
        <v>290842.64897795231</v>
      </c>
      <c r="M17" s="138"/>
      <c r="N17" s="196">
        <f>D18</f>
        <v>258682</v>
      </c>
      <c r="O17" s="197">
        <f t="shared" ref="O17:Q17" si="7">E18</f>
        <v>284170</v>
      </c>
      <c r="P17" s="197">
        <f t="shared" si="7"/>
        <v>292923.60000000003</v>
      </c>
      <c r="Q17" s="198">
        <f t="shared" si="7"/>
        <v>290842.64897795231</v>
      </c>
      <c r="R17" s="138"/>
      <c r="S17" s="196">
        <f>N17-I17</f>
        <v>-15341.099954545498</v>
      </c>
      <c r="T17" s="197">
        <f t="shared" ref="T17:V17" si="8">O17-J17</f>
        <v>-3554.2549522728077</v>
      </c>
      <c r="U17" s="197">
        <f t="shared" si="8"/>
        <v>-9186.8676998864394</v>
      </c>
      <c r="V17" s="227">
        <f t="shared" si="8"/>
        <v>0</v>
      </c>
      <c r="W17" s="234"/>
    </row>
    <row r="18" spans="2:23" ht="12.75" customHeight="1" x14ac:dyDescent="0.35">
      <c r="C18" s="100" t="s">
        <v>224</v>
      </c>
      <c r="D18" s="104">
        <v>258682</v>
      </c>
      <c r="E18" s="105">
        <v>284170</v>
      </c>
      <c r="F18" s="104">
        <f>(346*1.02)*830</f>
        <v>292923.60000000003</v>
      </c>
      <c r="G18" s="105">
        <f>G17</f>
        <v>290842.64897795231</v>
      </c>
      <c r="I18" s="213"/>
      <c r="J18" s="214"/>
      <c r="K18" s="214"/>
      <c r="L18" s="215"/>
      <c r="N18" s="213"/>
      <c r="O18" s="214"/>
      <c r="P18" s="214"/>
      <c r="Q18" s="215"/>
      <c r="S18" s="213"/>
      <c r="T18" s="214"/>
      <c r="U18" s="214"/>
      <c r="V18" s="228"/>
      <c r="W18" s="234"/>
    </row>
    <row r="19" spans="2:23" ht="12.75" customHeight="1" thickBot="1" x14ac:dyDescent="0.4">
      <c r="B19" s="6" t="s">
        <v>27</v>
      </c>
      <c r="C19" s="82"/>
      <c r="D19" s="103">
        <f>D17+D15</f>
        <v>456015.76745454548</v>
      </c>
      <c r="E19" s="103">
        <f>E17+E15</f>
        <v>478816.55582727282</v>
      </c>
      <c r="F19" s="103">
        <f>F17+F15</f>
        <v>502757.38361863652</v>
      </c>
      <c r="G19" s="103">
        <f>G17+G15</f>
        <v>501521.91069263982</v>
      </c>
      <c r="I19" s="196">
        <f>D19</f>
        <v>456015.76745454548</v>
      </c>
      <c r="J19" s="197">
        <f t="shared" ref="J19:L19" si="9">E19</f>
        <v>478816.55582727282</v>
      </c>
      <c r="K19" s="197">
        <f t="shared" si="9"/>
        <v>502757.38361863652</v>
      </c>
      <c r="L19" s="198">
        <f t="shared" si="9"/>
        <v>501521.91069263982</v>
      </c>
      <c r="M19" s="138"/>
      <c r="N19" s="196">
        <f>D20</f>
        <v>451341</v>
      </c>
      <c r="O19" s="197">
        <f t="shared" ref="O19:Q19" si="10">E20</f>
        <v>476279</v>
      </c>
      <c r="P19" s="197">
        <f t="shared" si="10"/>
        <v>494627.60000000003</v>
      </c>
      <c r="Q19" s="198">
        <f t="shared" si="10"/>
        <v>501521.91069263982</v>
      </c>
      <c r="R19" s="138"/>
      <c r="S19" s="196">
        <f>N19-I19</f>
        <v>-4674.7674545454793</v>
      </c>
      <c r="T19" s="197">
        <f t="shared" ref="T19:V19" si="11">O19-J19</f>
        <v>-2537.5558272728231</v>
      </c>
      <c r="U19" s="197">
        <f t="shared" si="11"/>
        <v>-8129.7836186364875</v>
      </c>
      <c r="V19" s="227">
        <f t="shared" si="11"/>
        <v>0</v>
      </c>
      <c r="W19" s="234"/>
    </row>
    <row r="20" spans="2:23" ht="12.75" customHeight="1" thickTop="1" x14ac:dyDescent="0.35">
      <c r="C20" s="100" t="s">
        <v>224</v>
      </c>
      <c r="D20" s="105">
        <f>D18+D16</f>
        <v>451341</v>
      </c>
      <c r="E20" s="105">
        <f>E18+E16</f>
        <v>476279</v>
      </c>
      <c r="F20" s="105">
        <f>F18+F16</f>
        <v>494627.60000000003</v>
      </c>
      <c r="G20" s="105">
        <f>G18+G16</f>
        <v>501521.91069263982</v>
      </c>
      <c r="I20" s="216"/>
      <c r="J20" s="217"/>
      <c r="K20" s="217"/>
      <c r="L20" s="218"/>
      <c r="M20" s="138"/>
      <c r="N20" s="216"/>
      <c r="O20" s="217"/>
      <c r="P20" s="217"/>
      <c r="Q20" s="218"/>
      <c r="R20" s="138"/>
      <c r="S20" s="216"/>
      <c r="T20" s="217"/>
      <c r="U20" s="217"/>
      <c r="V20" s="229"/>
      <c r="W20" s="234"/>
    </row>
    <row r="21" spans="2:23" ht="12.75" hidden="1" customHeight="1" x14ac:dyDescent="0.35">
      <c r="B21" s="1" t="s">
        <v>34</v>
      </c>
      <c r="C21" s="80"/>
      <c r="D21" s="101"/>
      <c r="E21" s="109"/>
      <c r="F21" s="101"/>
      <c r="I21" s="196"/>
      <c r="J21" s="197"/>
      <c r="K21" s="197"/>
      <c r="L21" s="198"/>
      <c r="M21" s="138"/>
      <c r="N21" s="196"/>
      <c r="O21" s="197"/>
      <c r="P21" s="197"/>
      <c r="Q21" s="198"/>
      <c r="R21" s="138"/>
      <c r="S21" s="196"/>
      <c r="T21" s="197"/>
      <c r="U21" s="197"/>
      <c r="V21" s="227"/>
      <c r="W21" s="234"/>
    </row>
    <row r="22" spans="2:23" ht="12.75" customHeight="1" x14ac:dyDescent="0.35">
      <c r="B22" s="3" t="s">
        <v>28</v>
      </c>
      <c r="C22" s="83"/>
      <c r="D22" s="103">
        <v>105480</v>
      </c>
      <c r="E22" s="103">
        <v>110754</v>
      </c>
      <c r="F22" s="103">
        <v>110754</v>
      </c>
      <c r="G22" s="103">
        <f>'BASE - Pre CV-19'!O50</f>
        <v>116291.7</v>
      </c>
      <c r="I22" s="196">
        <f>D22</f>
        <v>105480</v>
      </c>
      <c r="J22" s="197">
        <f t="shared" ref="J22:L22" si="12">E22</f>
        <v>110754</v>
      </c>
      <c r="K22" s="197">
        <f t="shared" si="12"/>
        <v>110754</v>
      </c>
      <c r="L22" s="198">
        <f t="shared" si="12"/>
        <v>116291.7</v>
      </c>
      <c r="M22" s="138"/>
      <c r="N22" s="196">
        <f>D23</f>
        <v>112410</v>
      </c>
      <c r="O22" s="197">
        <f t="shared" ref="O22:Q22" si="13">E23</f>
        <v>114568</v>
      </c>
      <c r="P22" s="197">
        <f t="shared" si="13"/>
        <v>120296</v>
      </c>
      <c r="Q22" s="198">
        <f t="shared" si="13"/>
        <v>116291.7</v>
      </c>
      <c r="R22" s="138"/>
      <c r="S22" s="196">
        <f>N22-I22</f>
        <v>6930</v>
      </c>
      <c r="T22" s="197">
        <f t="shared" ref="T22:V22" si="14">O22-J22</f>
        <v>3814</v>
      </c>
      <c r="U22" s="197">
        <f t="shared" si="14"/>
        <v>9542</v>
      </c>
      <c r="V22" s="227">
        <f t="shared" si="14"/>
        <v>0</v>
      </c>
      <c r="W22" s="234"/>
    </row>
    <row r="23" spans="2:23" ht="12.75" customHeight="1" x14ac:dyDescent="0.35">
      <c r="C23" s="100" t="s">
        <v>224</v>
      </c>
      <c r="D23" s="105">
        <v>112410</v>
      </c>
      <c r="E23" s="105">
        <v>114568</v>
      </c>
      <c r="F23" s="105">
        <v>120296</v>
      </c>
      <c r="G23" s="105">
        <f>G22</f>
        <v>116291.7</v>
      </c>
      <c r="I23" s="216"/>
      <c r="J23" s="217"/>
      <c r="K23" s="217"/>
      <c r="L23" s="218"/>
      <c r="M23" s="138"/>
      <c r="N23" s="216"/>
      <c r="O23" s="217"/>
      <c r="P23" s="217"/>
      <c r="Q23" s="218"/>
      <c r="R23" s="138"/>
      <c r="S23" s="216"/>
      <c r="T23" s="217"/>
      <c r="U23" s="217"/>
      <c r="V23" s="229"/>
      <c r="W23" s="234"/>
    </row>
    <row r="24" spans="2:23" ht="12.75" customHeight="1" thickBot="1" x14ac:dyDescent="0.4">
      <c r="B24" s="6" t="s">
        <v>36</v>
      </c>
      <c r="C24" s="85"/>
      <c r="D24" s="103">
        <f>D22+D19</f>
        <v>561495.76745454548</v>
      </c>
      <c r="E24" s="103">
        <f>E22+E19</f>
        <v>589570.55582727282</v>
      </c>
      <c r="F24" s="103">
        <f>F22+F19</f>
        <v>613511.38361863652</v>
      </c>
      <c r="G24" s="103">
        <f>G22+G19</f>
        <v>617813.61069263984</v>
      </c>
      <c r="I24" s="196">
        <f>D24</f>
        <v>561495.76745454548</v>
      </c>
      <c r="J24" s="197">
        <f t="shared" ref="J24:L24" si="15">E24</f>
        <v>589570.55582727282</v>
      </c>
      <c r="K24" s="197">
        <f t="shared" si="15"/>
        <v>613511.38361863652</v>
      </c>
      <c r="L24" s="198">
        <f t="shared" si="15"/>
        <v>617813.61069263984</v>
      </c>
      <c r="M24" s="138"/>
      <c r="N24" s="196">
        <f>D25</f>
        <v>563751</v>
      </c>
      <c r="O24" s="197">
        <f t="shared" ref="O24:Q24" si="16">E25</f>
        <v>590847</v>
      </c>
      <c r="P24" s="197">
        <f t="shared" si="16"/>
        <v>614923.60000000009</v>
      </c>
      <c r="Q24" s="198">
        <f t="shared" si="16"/>
        <v>617813.61069263984</v>
      </c>
      <c r="R24" s="138"/>
      <c r="S24" s="196">
        <f>N24-I24</f>
        <v>2255.2325454545207</v>
      </c>
      <c r="T24" s="197">
        <f t="shared" ref="T24:V24" si="17">O24-J24</f>
        <v>1276.4441727271769</v>
      </c>
      <c r="U24" s="197">
        <f t="shared" si="17"/>
        <v>1412.2163813635707</v>
      </c>
      <c r="V24" s="227">
        <f t="shared" si="17"/>
        <v>0</v>
      </c>
      <c r="W24" s="234" t="s">
        <v>299</v>
      </c>
    </row>
    <row r="25" spans="2:23" ht="12.75" customHeight="1" thickTop="1" x14ac:dyDescent="0.35">
      <c r="C25" s="100" t="s">
        <v>224</v>
      </c>
      <c r="D25" s="105">
        <f>D23+D20</f>
        <v>563751</v>
      </c>
      <c r="E25" s="105">
        <f>E23+E20</f>
        <v>590847</v>
      </c>
      <c r="F25" s="105">
        <f>F23+F20</f>
        <v>614923.60000000009</v>
      </c>
      <c r="G25" s="105">
        <f>G23+G20</f>
        <v>617813.61069263984</v>
      </c>
      <c r="I25" s="216"/>
      <c r="J25" s="217"/>
      <c r="K25" s="217"/>
      <c r="L25" s="218"/>
      <c r="M25" s="138"/>
      <c r="N25" s="216"/>
      <c r="O25" s="217"/>
      <c r="P25" s="217"/>
      <c r="Q25" s="218"/>
      <c r="R25" s="138"/>
      <c r="S25" s="216"/>
      <c r="T25" s="217"/>
      <c r="U25" s="217"/>
      <c r="V25" s="229"/>
      <c r="W25" s="234"/>
    </row>
    <row r="26" spans="2:23" ht="12.75" customHeight="1" x14ac:dyDescent="0.35">
      <c r="B26" s="3" t="s">
        <v>37</v>
      </c>
      <c r="D26" s="106"/>
      <c r="E26" s="107"/>
      <c r="F26" s="108"/>
      <c r="I26" s="222"/>
      <c r="J26" s="223"/>
      <c r="K26" s="223"/>
      <c r="L26" s="224"/>
      <c r="M26" s="138"/>
      <c r="N26" s="222"/>
      <c r="O26" s="223"/>
      <c r="P26" s="223"/>
      <c r="Q26" s="224"/>
      <c r="R26" s="138"/>
      <c r="S26" s="222"/>
      <c r="T26" s="223"/>
      <c r="U26" s="223"/>
      <c r="V26" s="231"/>
      <c r="W26" s="234"/>
    </row>
    <row r="27" spans="2:23" ht="12.75" customHeight="1" x14ac:dyDescent="0.35">
      <c r="B27" s="1" t="s">
        <v>38</v>
      </c>
      <c r="C27" s="80"/>
      <c r="D27" s="101">
        <v>6300</v>
      </c>
      <c r="E27" s="109">
        <v>7000</v>
      </c>
      <c r="F27" s="101">
        <v>7500</v>
      </c>
      <c r="G27" s="32"/>
      <c r="I27" s="219"/>
      <c r="J27" s="220"/>
      <c r="K27" s="220"/>
      <c r="L27" s="221"/>
      <c r="M27" s="138"/>
      <c r="N27" s="219"/>
      <c r="O27" s="220"/>
      <c r="P27" s="220"/>
      <c r="Q27" s="221"/>
      <c r="R27" s="138"/>
      <c r="S27" s="219"/>
      <c r="T27" s="220"/>
      <c r="U27" s="220"/>
      <c r="V27" s="230"/>
      <c r="W27" s="234"/>
    </row>
    <row r="28" spans="2:23" ht="12.75" customHeight="1" x14ac:dyDescent="0.35">
      <c r="B28" s="5" t="s">
        <v>41</v>
      </c>
      <c r="C28" s="83"/>
      <c r="D28" s="103">
        <v>6300</v>
      </c>
      <c r="E28" s="103">
        <v>7000</v>
      </c>
      <c r="F28" s="103">
        <v>7500</v>
      </c>
      <c r="G28" s="103">
        <f>'BASE - Pre CV-19'!O58</f>
        <v>7650</v>
      </c>
      <c r="I28" s="196">
        <f>D28</f>
        <v>6300</v>
      </c>
      <c r="J28" s="197">
        <f t="shared" ref="J28:L28" si="18">E28</f>
        <v>7000</v>
      </c>
      <c r="K28" s="197">
        <f t="shared" si="18"/>
        <v>7500</v>
      </c>
      <c r="L28" s="198">
        <f t="shared" si="18"/>
        <v>7650</v>
      </c>
      <c r="M28" s="138"/>
      <c r="N28" s="196">
        <f>D29</f>
        <v>10856</v>
      </c>
      <c r="O28" s="197">
        <f t="shared" ref="O28:Q28" si="19">E29</f>
        <v>7000</v>
      </c>
      <c r="P28" s="197">
        <f t="shared" si="19"/>
        <v>7500</v>
      </c>
      <c r="Q28" s="198">
        <f t="shared" si="19"/>
        <v>7650</v>
      </c>
      <c r="R28" s="138"/>
      <c r="S28" s="196">
        <f>N28-I28</f>
        <v>4556</v>
      </c>
      <c r="T28" s="197">
        <f t="shared" ref="T28:V28" si="20">O28-J28</f>
        <v>0</v>
      </c>
      <c r="U28" s="197">
        <f t="shared" si="20"/>
        <v>0</v>
      </c>
      <c r="V28" s="227">
        <f t="shared" si="20"/>
        <v>0</v>
      </c>
      <c r="W28" s="234"/>
    </row>
    <row r="29" spans="2:23" ht="12.75" customHeight="1" x14ac:dyDescent="0.35">
      <c r="C29" s="100" t="s">
        <v>224</v>
      </c>
      <c r="D29" s="105">
        <v>10856</v>
      </c>
      <c r="E29" s="105">
        <v>7000</v>
      </c>
      <c r="F29" s="105">
        <v>7500</v>
      </c>
      <c r="G29" s="105">
        <f>G28</f>
        <v>7650</v>
      </c>
      <c r="I29" s="216"/>
      <c r="J29" s="217"/>
      <c r="K29" s="217"/>
      <c r="L29" s="218"/>
      <c r="M29" s="138"/>
      <c r="N29" s="216"/>
      <c r="O29" s="217"/>
      <c r="P29" s="217"/>
      <c r="Q29" s="218"/>
      <c r="R29" s="138"/>
      <c r="S29" s="216"/>
      <c r="T29" s="217"/>
      <c r="U29" s="217"/>
      <c r="V29" s="229"/>
      <c r="W29" s="234"/>
    </row>
    <row r="30" spans="2:23" ht="12.75" customHeight="1" x14ac:dyDescent="0.35">
      <c r="B30" s="3" t="s">
        <v>42</v>
      </c>
      <c r="C30" s="84"/>
      <c r="D30" s="106"/>
      <c r="E30" s="107"/>
      <c r="F30" s="108"/>
      <c r="I30" s="222"/>
      <c r="J30" s="223"/>
      <c r="K30" s="223"/>
      <c r="L30" s="224"/>
      <c r="M30" s="138"/>
      <c r="N30" s="222"/>
      <c r="O30" s="223"/>
      <c r="P30" s="223"/>
      <c r="Q30" s="224"/>
      <c r="R30" s="138"/>
      <c r="S30" s="222"/>
      <c r="T30" s="223"/>
      <c r="U30" s="223"/>
      <c r="V30" s="231"/>
      <c r="W30" s="234"/>
    </row>
    <row r="31" spans="2:23" ht="12.75" customHeight="1" x14ac:dyDescent="0.35">
      <c r="B31" s="1" t="s">
        <v>44</v>
      </c>
      <c r="C31" s="83"/>
      <c r="D31" s="103">
        <v>34000</v>
      </c>
      <c r="E31" s="103">
        <v>35000</v>
      </c>
      <c r="F31" s="103">
        <v>36000</v>
      </c>
      <c r="G31" s="103">
        <f>'BASE - Pre CV-19'!O64</f>
        <v>38000</v>
      </c>
      <c r="I31" s="196">
        <f>D31</f>
        <v>34000</v>
      </c>
      <c r="J31" s="197">
        <f t="shared" ref="J31:L31" si="21">E31</f>
        <v>35000</v>
      </c>
      <c r="K31" s="197">
        <f t="shared" si="21"/>
        <v>36000</v>
      </c>
      <c r="L31" s="198">
        <f t="shared" si="21"/>
        <v>38000</v>
      </c>
      <c r="M31" s="138"/>
      <c r="N31" s="196">
        <f>D32</f>
        <v>0</v>
      </c>
      <c r="O31" s="197">
        <f t="shared" ref="O31:Q31" si="22">E32</f>
        <v>35000</v>
      </c>
      <c r="P31" s="197">
        <f t="shared" si="22"/>
        <v>36000</v>
      </c>
      <c r="Q31" s="198">
        <f t="shared" si="22"/>
        <v>38000</v>
      </c>
      <c r="R31" s="138"/>
      <c r="S31" s="196">
        <f>N31-I31</f>
        <v>-34000</v>
      </c>
      <c r="T31" s="197">
        <f t="shared" ref="T31:V31" si="23">O31-J31</f>
        <v>0</v>
      </c>
      <c r="U31" s="197">
        <f t="shared" si="23"/>
        <v>0</v>
      </c>
      <c r="V31" s="227">
        <f t="shared" si="23"/>
        <v>0</v>
      </c>
      <c r="W31" s="234"/>
    </row>
    <row r="32" spans="2:23" ht="12.75" customHeight="1" x14ac:dyDescent="0.35">
      <c r="B32" s="290"/>
      <c r="C32" s="100" t="s">
        <v>224</v>
      </c>
      <c r="D32" s="113">
        <v>0</v>
      </c>
      <c r="E32" s="113">
        <v>35000</v>
      </c>
      <c r="F32" s="113">
        <v>36000</v>
      </c>
      <c r="G32" s="105">
        <f>G31</f>
        <v>38000</v>
      </c>
      <c r="I32" s="216"/>
      <c r="J32" s="217"/>
      <c r="K32" s="217"/>
      <c r="L32" s="218"/>
      <c r="M32" s="138"/>
      <c r="N32" s="216"/>
      <c r="O32" s="217"/>
      <c r="P32" s="217"/>
      <c r="Q32" s="218"/>
      <c r="R32" s="138"/>
      <c r="S32" s="216"/>
      <c r="T32" s="217"/>
      <c r="U32" s="217"/>
      <c r="V32" s="229"/>
      <c r="W32" s="234"/>
    </row>
    <row r="33" spans="2:23" ht="12.75" customHeight="1" x14ac:dyDescent="0.35">
      <c r="B33" s="1" t="s">
        <v>47</v>
      </c>
      <c r="C33" s="83"/>
      <c r="D33" s="103">
        <v>97416.709999999992</v>
      </c>
      <c r="E33" s="103">
        <v>0</v>
      </c>
      <c r="F33" s="103">
        <v>103000</v>
      </c>
      <c r="G33" s="103">
        <f>'BASE - Pre CV-19'!O69</f>
        <v>0</v>
      </c>
      <c r="I33" s="196">
        <f>D33</f>
        <v>97416.709999999992</v>
      </c>
      <c r="J33" s="197">
        <f t="shared" ref="J33:L33" si="24">E33</f>
        <v>0</v>
      </c>
      <c r="K33" s="197">
        <f t="shared" si="24"/>
        <v>103000</v>
      </c>
      <c r="L33" s="198">
        <f t="shared" si="24"/>
        <v>0</v>
      </c>
      <c r="M33" s="138"/>
      <c r="N33" s="196">
        <f>D34</f>
        <v>68880</v>
      </c>
      <c r="O33" s="197">
        <f t="shared" ref="O33:Q33" si="25">E34</f>
        <v>0</v>
      </c>
      <c r="P33" s="197">
        <f t="shared" si="25"/>
        <v>103000</v>
      </c>
      <c r="Q33" s="198">
        <f t="shared" si="25"/>
        <v>0</v>
      </c>
      <c r="R33" s="138"/>
      <c r="S33" s="196">
        <f>N33-I33</f>
        <v>-28536.709999999992</v>
      </c>
      <c r="T33" s="197">
        <f t="shared" ref="T33:V33" si="26">O33-J33</f>
        <v>0</v>
      </c>
      <c r="U33" s="197">
        <f t="shared" si="26"/>
        <v>0</v>
      </c>
      <c r="V33" s="227">
        <f t="shared" si="26"/>
        <v>0</v>
      </c>
      <c r="W33" s="234"/>
    </row>
    <row r="34" spans="2:23" ht="12.75" customHeight="1" x14ac:dyDescent="0.35">
      <c r="B34" s="290"/>
      <c r="C34" s="100" t="s">
        <v>224</v>
      </c>
      <c r="D34" s="113">
        <v>68880</v>
      </c>
      <c r="E34" s="113"/>
      <c r="F34" s="113">
        <v>103000</v>
      </c>
      <c r="G34" s="105">
        <f>G33</f>
        <v>0</v>
      </c>
      <c r="I34" s="216"/>
      <c r="J34" s="217"/>
      <c r="K34" s="217"/>
      <c r="L34" s="218"/>
      <c r="M34" s="138"/>
      <c r="N34" s="216"/>
      <c r="O34" s="217"/>
      <c r="P34" s="217"/>
      <c r="Q34" s="218"/>
      <c r="R34" s="138"/>
      <c r="S34" s="216"/>
      <c r="T34" s="217"/>
      <c r="U34" s="217"/>
      <c r="V34" s="229"/>
      <c r="W34" s="234"/>
    </row>
    <row r="35" spans="2:23" ht="12.75" customHeight="1" x14ac:dyDescent="0.35">
      <c r="B35" s="1" t="s">
        <v>51</v>
      </c>
      <c r="C35" s="83"/>
      <c r="D35" s="103">
        <v>0</v>
      </c>
      <c r="E35" s="103">
        <v>127810.85</v>
      </c>
      <c r="F35" s="103"/>
      <c r="G35" s="103">
        <f>'BASE - Pre CV-19'!O74</f>
        <v>133576.39250000002</v>
      </c>
      <c r="I35" s="196">
        <f>D35</f>
        <v>0</v>
      </c>
      <c r="J35" s="197">
        <f t="shared" ref="J35:L35" si="27">E35</f>
        <v>127810.85</v>
      </c>
      <c r="K35" s="197">
        <f t="shared" si="27"/>
        <v>0</v>
      </c>
      <c r="L35" s="198">
        <f t="shared" si="27"/>
        <v>133576.39250000002</v>
      </c>
      <c r="M35" s="138"/>
      <c r="N35" s="196">
        <f>D36</f>
        <v>0</v>
      </c>
      <c r="O35" s="197">
        <f t="shared" ref="O35:Q35" si="28">E36</f>
        <v>0</v>
      </c>
      <c r="P35" s="197">
        <f t="shared" si="28"/>
        <v>127811</v>
      </c>
      <c r="Q35" s="198">
        <f t="shared" si="28"/>
        <v>133576.39250000002</v>
      </c>
      <c r="R35" s="138"/>
      <c r="S35" s="196">
        <f>N35-I35</f>
        <v>0</v>
      </c>
      <c r="T35" s="197">
        <f t="shared" ref="T35:V35" si="29">O35-J35</f>
        <v>-127810.85</v>
      </c>
      <c r="U35" s="197">
        <f t="shared" si="29"/>
        <v>127811</v>
      </c>
      <c r="V35" s="227">
        <f t="shared" si="29"/>
        <v>0</v>
      </c>
      <c r="W35" s="234" t="s">
        <v>315</v>
      </c>
    </row>
    <row r="36" spans="2:23" ht="12.75" customHeight="1" x14ac:dyDescent="0.35">
      <c r="B36" s="290"/>
      <c r="C36" s="100" t="s">
        <v>224</v>
      </c>
      <c r="D36" s="113">
        <v>0</v>
      </c>
      <c r="E36" s="113">
        <v>0</v>
      </c>
      <c r="F36" s="113">
        <v>127811</v>
      </c>
      <c r="G36" s="105">
        <f>G35</f>
        <v>133576.39250000002</v>
      </c>
      <c r="I36" s="216"/>
      <c r="J36" s="217"/>
      <c r="K36" s="217"/>
      <c r="L36" s="218"/>
      <c r="M36" s="138"/>
      <c r="N36" s="216"/>
      <c r="O36" s="217"/>
      <c r="P36" s="217"/>
      <c r="Q36" s="218"/>
      <c r="R36" s="138"/>
      <c r="S36" s="216"/>
      <c r="T36" s="217"/>
      <c r="U36" s="217"/>
      <c r="V36" s="229"/>
      <c r="W36" s="234"/>
    </row>
    <row r="37" spans="2:23" ht="12.75" customHeight="1" x14ac:dyDescent="0.35">
      <c r="B37" s="1" t="s">
        <v>55</v>
      </c>
      <c r="C37" s="83"/>
      <c r="D37" s="103">
        <v>0</v>
      </c>
      <c r="E37" s="103">
        <v>201960</v>
      </c>
      <c r="F37" s="103">
        <v>0</v>
      </c>
      <c r="G37" s="103">
        <f>'BASE - Pre CV-19'!O79</f>
        <v>208508.40000000002</v>
      </c>
      <c r="I37" s="196">
        <f>D37</f>
        <v>0</v>
      </c>
      <c r="J37" s="197">
        <f t="shared" ref="J37:L37" si="30">E37</f>
        <v>201960</v>
      </c>
      <c r="K37" s="197">
        <f t="shared" si="30"/>
        <v>0</v>
      </c>
      <c r="L37" s="198">
        <f t="shared" si="30"/>
        <v>208508.40000000002</v>
      </c>
      <c r="M37" s="138"/>
      <c r="N37" s="196">
        <f>D38</f>
        <v>0</v>
      </c>
      <c r="O37" s="197">
        <f t="shared" ref="O37:Q37" si="31">E38</f>
        <v>201960</v>
      </c>
      <c r="P37" s="197">
        <f t="shared" si="31"/>
        <v>0</v>
      </c>
      <c r="Q37" s="198">
        <f t="shared" si="31"/>
        <v>208508.40000000002</v>
      </c>
      <c r="R37" s="138"/>
      <c r="S37" s="196">
        <f>N37-I37</f>
        <v>0</v>
      </c>
      <c r="T37" s="197">
        <f t="shared" ref="T37:V37" si="32">O37-J37</f>
        <v>0</v>
      </c>
      <c r="U37" s="197">
        <f t="shared" si="32"/>
        <v>0</v>
      </c>
      <c r="V37" s="227">
        <f t="shared" si="32"/>
        <v>0</v>
      </c>
      <c r="W37" s="234"/>
    </row>
    <row r="38" spans="2:23" ht="12.75" customHeight="1" x14ac:dyDescent="0.35">
      <c r="B38" s="290"/>
      <c r="C38" s="100" t="s">
        <v>224</v>
      </c>
      <c r="D38" s="113"/>
      <c r="E38" s="113">
        <v>201960</v>
      </c>
      <c r="F38" s="113"/>
      <c r="G38" s="105">
        <f>G37</f>
        <v>208508.40000000002</v>
      </c>
      <c r="I38" s="216"/>
      <c r="J38" s="217"/>
      <c r="K38" s="217"/>
      <c r="L38" s="218"/>
      <c r="M38" s="138"/>
      <c r="N38" s="216"/>
      <c r="O38" s="217"/>
      <c r="P38" s="217"/>
      <c r="Q38" s="218"/>
      <c r="R38" s="138"/>
      <c r="S38" s="216"/>
      <c r="T38" s="217"/>
      <c r="U38" s="217"/>
      <c r="V38" s="229"/>
      <c r="W38" s="234"/>
    </row>
    <row r="39" spans="2:23" ht="12.75" customHeight="1" x14ac:dyDescent="0.35">
      <c r="B39" s="1" t="s">
        <v>59</v>
      </c>
      <c r="C39" s="83"/>
      <c r="D39" s="103">
        <v>135000</v>
      </c>
      <c r="E39" s="103">
        <v>0</v>
      </c>
      <c r="F39" s="103">
        <v>5000</v>
      </c>
      <c r="G39" s="103">
        <f>'BASE - Pre CV-19'!O84</f>
        <v>5000</v>
      </c>
      <c r="I39" s="196">
        <f>D39</f>
        <v>135000</v>
      </c>
      <c r="J39" s="197">
        <f t="shared" ref="J39:L39" si="33">E39</f>
        <v>0</v>
      </c>
      <c r="K39" s="197">
        <f t="shared" si="33"/>
        <v>5000</v>
      </c>
      <c r="L39" s="198">
        <f t="shared" si="33"/>
        <v>5000</v>
      </c>
      <c r="M39" s="138"/>
      <c r="N39" s="196">
        <f>D40</f>
        <v>114827</v>
      </c>
      <c r="O39" s="197">
        <f t="shared" ref="O39:Q39" si="34">E40</f>
        <v>0</v>
      </c>
      <c r="P39" s="197">
        <f t="shared" si="34"/>
        <v>5000</v>
      </c>
      <c r="Q39" s="198">
        <f t="shared" si="34"/>
        <v>5000</v>
      </c>
      <c r="R39" s="138"/>
      <c r="S39" s="196">
        <f>N39-I39</f>
        <v>-20173</v>
      </c>
      <c r="T39" s="197">
        <f t="shared" ref="T39:V39" si="35">O39-J39</f>
        <v>0</v>
      </c>
      <c r="U39" s="197">
        <f t="shared" si="35"/>
        <v>0</v>
      </c>
      <c r="V39" s="227">
        <f t="shared" si="35"/>
        <v>0</v>
      </c>
      <c r="W39" s="234"/>
    </row>
    <row r="40" spans="2:23" ht="12.75" customHeight="1" x14ac:dyDescent="0.35">
      <c r="B40" s="98"/>
      <c r="C40" s="100" t="s">
        <v>224</v>
      </c>
      <c r="D40" s="113">
        <v>114827</v>
      </c>
      <c r="E40" s="113"/>
      <c r="F40" s="113">
        <v>5000</v>
      </c>
      <c r="G40" s="105">
        <f>G39</f>
        <v>5000</v>
      </c>
      <c r="I40" s="196"/>
      <c r="J40" s="197"/>
      <c r="K40" s="197"/>
      <c r="L40" s="198"/>
      <c r="M40" s="138"/>
      <c r="N40" s="196"/>
      <c r="O40" s="197"/>
      <c r="P40" s="197"/>
      <c r="Q40" s="198"/>
      <c r="R40" s="138"/>
      <c r="S40" s="196"/>
      <c r="T40" s="197"/>
      <c r="U40" s="197"/>
      <c r="V40" s="227"/>
      <c r="W40" s="234"/>
    </row>
    <row r="41" spans="2:23" ht="12.75" customHeight="1" x14ac:dyDescent="0.35">
      <c r="C41" s="84"/>
      <c r="D41" s="106"/>
      <c r="E41" s="107"/>
      <c r="F41" s="108"/>
      <c r="I41" s="196"/>
      <c r="J41" s="197"/>
      <c r="K41" s="197"/>
      <c r="L41" s="198"/>
      <c r="M41" s="138"/>
      <c r="N41" s="196"/>
      <c r="O41" s="197"/>
      <c r="P41" s="197"/>
      <c r="Q41" s="198"/>
      <c r="R41" s="138"/>
      <c r="S41" s="196"/>
      <c r="T41" s="197"/>
      <c r="U41" s="197"/>
      <c r="V41" s="227"/>
      <c r="W41" s="234"/>
    </row>
    <row r="42" spans="2:23" ht="12.75" customHeight="1" thickBot="1" x14ac:dyDescent="0.4">
      <c r="B42" s="6" t="s">
        <v>62</v>
      </c>
      <c r="C42" s="85"/>
      <c r="D42" s="116">
        <f>D39+D37+D35+D33+D31</f>
        <v>266416.70999999996</v>
      </c>
      <c r="E42" s="116">
        <f>E39+E37+E35+E33+E31</f>
        <v>364770.85</v>
      </c>
      <c r="F42" s="116">
        <f>F39+F37+F35+F33+F31</f>
        <v>144000</v>
      </c>
      <c r="G42" s="103">
        <f>'BASE - Pre CV-19'!O86</f>
        <v>385084.79250000004</v>
      </c>
      <c r="I42" s="196">
        <f>D42</f>
        <v>266416.70999999996</v>
      </c>
      <c r="J42" s="197">
        <f t="shared" ref="J42:L42" si="36">E42</f>
        <v>364770.85</v>
      </c>
      <c r="K42" s="197">
        <f t="shared" si="36"/>
        <v>144000</v>
      </c>
      <c r="L42" s="198">
        <f t="shared" si="36"/>
        <v>385084.79250000004</v>
      </c>
      <c r="M42" s="138"/>
      <c r="N42" s="196">
        <f>D43</f>
        <v>183707</v>
      </c>
      <c r="O42" s="197">
        <f t="shared" ref="O42:Q42" si="37">E43</f>
        <v>236960</v>
      </c>
      <c r="P42" s="197">
        <f t="shared" si="37"/>
        <v>271811</v>
      </c>
      <c r="Q42" s="198">
        <f t="shared" si="37"/>
        <v>385084.79250000004</v>
      </c>
      <c r="R42" s="138"/>
      <c r="S42" s="196">
        <f>N42-I42</f>
        <v>-82709.709999999963</v>
      </c>
      <c r="T42" s="197">
        <f t="shared" ref="T42:V42" si="38">O42-J42</f>
        <v>-127810.84999999998</v>
      </c>
      <c r="U42" s="197">
        <f t="shared" si="38"/>
        <v>127811</v>
      </c>
      <c r="V42" s="227">
        <f t="shared" si="38"/>
        <v>0</v>
      </c>
      <c r="W42" s="234" t="s">
        <v>300</v>
      </c>
    </row>
    <row r="43" spans="2:23" ht="12.75" customHeight="1" thickTop="1" x14ac:dyDescent="0.35">
      <c r="B43" s="98"/>
      <c r="C43" s="100" t="s">
        <v>224</v>
      </c>
      <c r="D43" s="113">
        <f>D40+D38+D36+D34+D32</f>
        <v>183707</v>
      </c>
      <c r="E43" s="113">
        <f>E40+E38+E36+E34+E32</f>
        <v>236960</v>
      </c>
      <c r="F43" s="113">
        <f>F40+F38+F36+F34+F32</f>
        <v>271811</v>
      </c>
      <c r="G43" s="105">
        <f>G42</f>
        <v>385084.79250000004</v>
      </c>
      <c r="I43" s="216"/>
      <c r="J43" s="217"/>
      <c r="K43" s="217"/>
      <c r="L43" s="218"/>
      <c r="M43" s="138"/>
      <c r="N43" s="216"/>
      <c r="O43" s="217"/>
      <c r="P43" s="217"/>
      <c r="Q43" s="218"/>
      <c r="R43" s="138"/>
      <c r="S43" s="216"/>
      <c r="T43" s="217"/>
      <c r="U43" s="217"/>
      <c r="V43" s="229"/>
      <c r="W43" s="234"/>
    </row>
    <row r="44" spans="2:23" ht="12.75" customHeight="1" x14ac:dyDescent="0.35">
      <c r="C44" s="84"/>
      <c r="D44" s="106"/>
      <c r="E44" s="107"/>
      <c r="F44" s="108"/>
      <c r="I44" s="219"/>
      <c r="J44" s="220"/>
      <c r="K44" s="220"/>
      <c r="L44" s="221"/>
      <c r="M44" s="138"/>
      <c r="N44" s="219"/>
      <c r="O44" s="220"/>
      <c r="P44" s="220"/>
      <c r="Q44" s="221"/>
      <c r="R44" s="138"/>
      <c r="S44" s="219"/>
      <c r="T44" s="220"/>
      <c r="U44" s="220"/>
      <c r="V44" s="230"/>
      <c r="W44" s="234"/>
    </row>
    <row r="45" spans="2:23" ht="12.75" customHeight="1" thickBot="1" x14ac:dyDescent="0.4">
      <c r="B45" s="6" t="s">
        <v>63</v>
      </c>
      <c r="C45" s="85"/>
      <c r="D45" s="103">
        <f>D42+D28+D24+D12</f>
        <v>879912.47745454544</v>
      </c>
      <c r="E45" s="103">
        <f>E42+E28+E24+E12</f>
        <v>998041.4058272728</v>
      </c>
      <c r="F45" s="103">
        <f>F42+F28+F24+F12</f>
        <v>801711.38361863652</v>
      </c>
      <c r="G45" s="103">
        <f>'BASE - Pre CV-19'!O88</f>
        <v>1034248.4031926398</v>
      </c>
      <c r="H45" s="106">
        <f>G42+G28+G24+G12</f>
        <v>1034248.4031926398</v>
      </c>
      <c r="I45" s="196">
        <f>D45</f>
        <v>879912.47745454544</v>
      </c>
      <c r="J45" s="197">
        <f t="shared" ref="J45:L45" si="39">E45</f>
        <v>998041.4058272728</v>
      </c>
      <c r="K45" s="197">
        <f t="shared" si="39"/>
        <v>801711.38361863652</v>
      </c>
      <c r="L45" s="198">
        <f t="shared" si="39"/>
        <v>1034248.4031926398</v>
      </c>
      <c r="M45" s="138"/>
      <c r="N45" s="196">
        <f>D46</f>
        <v>792298</v>
      </c>
      <c r="O45" s="197">
        <f t="shared" ref="O45:Q45" si="40">E46</f>
        <v>862307</v>
      </c>
      <c r="P45" s="197">
        <f t="shared" si="40"/>
        <v>921734.60000000009</v>
      </c>
      <c r="Q45" s="198">
        <f t="shared" si="40"/>
        <v>1034248.4031926398</v>
      </c>
      <c r="R45" s="138"/>
      <c r="S45" s="196">
        <f>N45-I45</f>
        <v>-87614.477454545442</v>
      </c>
      <c r="T45" s="197">
        <f t="shared" ref="T45:V45" si="41">O45-J45</f>
        <v>-135734.4058272728</v>
      </c>
      <c r="U45" s="197">
        <f t="shared" si="41"/>
        <v>120023.21638136357</v>
      </c>
      <c r="V45" s="227">
        <f t="shared" si="41"/>
        <v>0</v>
      </c>
      <c r="W45" s="234"/>
    </row>
    <row r="46" spans="2:23" ht="12.75" customHeight="1" thickTop="1" x14ac:dyDescent="0.35">
      <c r="B46" s="98"/>
      <c r="C46" s="100" t="s">
        <v>224</v>
      </c>
      <c r="D46" s="113">
        <f>D43+D29+D25+D13</f>
        <v>792298</v>
      </c>
      <c r="E46" s="113">
        <f>E43+E29+E25+E13</f>
        <v>862307</v>
      </c>
      <c r="F46" s="113">
        <f>F43+F29+F25+F13</f>
        <v>921734.60000000009</v>
      </c>
      <c r="G46" s="105">
        <f>G43+G29+G25+G13</f>
        <v>1034248.4031926398</v>
      </c>
      <c r="I46" s="216"/>
      <c r="J46" s="217"/>
      <c r="K46" s="217"/>
      <c r="L46" s="218"/>
      <c r="M46" s="138"/>
      <c r="N46" s="216"/>
      <c r="O46" s="217"/>
      <c r="P46" s="217"/>
      <c r="Q46" s="218"/>
      <c r="R46" s="138"/>
      <c r="S46" s="216"/>
      <c r="T46" s="217"/>
      <c r="U46" s="217"/>
      <c r="V46" s="229"/>
      <c r="W46" s="234"/>
    </row>
    <row r="47" spans="2:23" ht="12.75" customHeight="1" x14ac:dyDescent="0.35">
      <c r="B47" s="98"/>
      <c r="C47" s="99"/>
      <c r="D47" s="115"/>
      <c r="E47" s="115"/>
      <c r="F47" s="116"/>
      <c r="I47" s="222"/>
      <c r="J47" s="223"/>
      <c r="K47" s="223"/>
      <c r="L47" s="224"/>
      <c r="M47" s="138"/>
      <c r="N47" s="222"/>
      <c r="O47" s="223"/>
      <c r="P47" s="223"/>
      <c r="Q47" s="224"/>
      <c r="R47" s="138"/>
      <c r="S47" s="222"/>
      <c r="T47" s="223"/>
      <c r="U47" s="223"/>
      <c r="V47" s="231"/>
      <c r="W47" s="234"/>
    </row>
    <row r="48" spans="2:23" ht="12.75" customHeight="1" x14ac:dyDescent="0.35">
      <c r="B48" s="3" t="s">
        <v>65</v>
      </c>
      <c r="D48" s="106"/>
      <c r="E48" s="107"/>
      <c r="F48" s="108"/>
      <c r="I48" s="222"/>
      <c r="J48" s="223"/>
      <c r="K48" s="223"/>
      <c r="L48" s="224"/>
      <c r="M48" s="138"/>
      <c r="N48" s="222"/>
      <c r="O48" s="223"/>
      <c r="P48" s="223"/>
      <c r="Q48" s="224"/>
      <c r="R48" s="138"/>
      <c r="S48" s="222"/>
      <c r="T48" s="223"/>
      <c r="U48" s="223"/>
      <c r="V48" s="231"/>
      <c r="W48" s="234"/>
    </row>
    <row r="49" spans="2:23" ht="12.75" customHeight="1" x14ac:dyDescent="0.35">
      <c r="B49" s="3"/>
      <c r="D49" s="106"/>
      <c r="E49" s="107"/>
      <c r="F49" s="108"/>
      <c r="I49" s="222"/>
      <c r="J49" s="223"/>
      <c r="K49" s="223"/>
      <c r="L49" s="224"/>
      <c r="M49" s="138"/>
      <c r="N49" s="222"/>
      <c r="O49" s="223"/>
      <c r="P49" s="223"/>
      <c r="Q49" s="224"/>
      <c r="R49" s="138"/>
      <c r="S49" s="222"/>
      <c r="T49" s="223"/>
      <c r="U49" s="223"/>
      <c r="V49" s="231"/>
      <c r="W49" s="234"/>
    </row>
    <row r="50" spans="2:23" ht="12.75" customHeight="1" x14ac:dyDescent="0.35">
      <c r="B50" t="s">
        <v>226</v>
      </c>
      <c r="D50" s="105">
        <v>97066</v>
      </c>
      <c r="E50" s="107"/>
      <c r="F50" s="108"/>
      <c r="I50" s="219"/>
      <c r="J50" s="220"/>
      <c r="K50" s="220"/>
      <c r="L50" s="221"/>
      <c r="M50" s="138"/>
      <c r="N50" s="219"/>
      <c r="O50" s="220"/>
      <c r="P50" s="220"/>
      <c r="Q50" s="221"/>
      <c r="R50" s="138"/>
      <c r="S50" s="219"/>
      <c r="T50" s="220"/>
      <c r="U50" s="220"/>
      <c r="V50" s="230"/>
      <c r="W50" s="234"/>
    </row>
    <row r="51" spans="2:23" ht="12.75" customHeight="1" x14ac:dyDescent="0.35">
      <c r="B51" s="3" t="s">
        <v>225</v>
      </c>
      <c r="D51" s="103">
        <v>66700</v>
      </c>
      <c r="E51" s="103">
        <v>65834</v>
      </c>
      <c r="F51" s="103">
        <v>68990</v>
      </c>
      <c r="G51" s="103">
        <f>'BASE - Pre CV-19'!O95+'BASE - Pre CV-19'!O96+'BASE - Pre CV-19'!O100</f>
        <v>66985.125599999999</v>
      </c>
      <c r="I51" s="196">
        <f>D51</f>
        <v>66700</v>
      </c>
      <c r="J51" s="197">
        <f t="shared" ref="J51:L51" si="42">E51</f>
        <v>65834</v>
      </c>
      <c r="K51" s="197">
        <f t="shared" si="42"/>
        <v>68990</v>
      </c>
      <c r="L51" s="198">
        <f t="shared" si="42"/>
        <v>66985.125599999999</v>
      </c>
      <c r="M51" s="138"/>
      <c r="N51" s="196">
        <f>D52</f>
        <v>54993</v>
      </c>
      <c r="O51" s="197">
        <f t="shared" ref="O51:Q51" si="43">E52</f>
        <v>65834</v>
      </c>
      <c r="P51" s="197">
        <f t="shared" si="43"/>
        <v>68990</v>
      </c>
      <c r="Q51" s="198">
        <f t="shared" si="43"/>
        <v>66985.125599999999</v>
      </c>
      <c r="R51" s="138"/>
      <c r="S51" s="196">
        <f>N51-I51</f>
        <v>-11707</v>
      </c>
      <c r="T51" s="197">
        <f t="shared" ref="T51:V51" si="44">O51-J51</f>
        <v>0</v>
      </c>
      <c r="U51" s="197">
        <f t="shared" si="44"/>
        <v>0</v>
      </c>
      <c r="V51" s="227">
        <f t="shared" si="44"/>
        <v>0</v>
      </c>
      <c r="W51" s="234"/>
    </row>
    <row r="52" spans="2:23" ht="12.75" customHeight="1" x14ac:dyDescent="0.35">
      <c r="B52" s="3"/>
      <c r="C52" s="100" t="s">
        <v>224</v>
      </c>
      <c r="D52" s="105">
        <v>54993</v>
      </c>
      <c r="E52" s="105">
        <v>65834</v>
      </c>
      <c r="F52" s="105">
        <v>68990</v>
      </c>
      <c r="G52" s="105">
        <f>G51</f>
        <v>66985.125599999999</v>
      </c>
      <c r="I52" s="216"/>
      <c r="J52" s="217"/>
      <c r="K52" s="217"/>
      <c r="L52" s="218"/>
      <c r="M52" s="138"/>
      <c r="N52" s="216"/>
      <c r="O52" s="217"/>
      <c r="P52" s="217"/>
      <c r="Q52" s="218"/>
      <c r="R52" s="138"/>
      <c r="S52" s="216"/>
      <c r="T52" s="217"/>
      <c r="U52" s="217"/>
      <c r="V52" s="229"/>
      <c r="W52" s="234"/>
    </row>
    <row r="53" spans="2:23" ht="12.75" customHeight="1" x14ac:dyDescent="0.35">
      <c r="B53" s="3" t="s">
        <v>73</v>
      </c>
      <c r="C53" s="33"/>
      <c r="D53" s="103">
        <v>35391.565799999997</v>
      </c>
      <c r="E53" s="103">
        <v>36821.734484000001</v>
      </c>
      <c r="F53" s="103">
        <v>38329.059794319997</v>
      </c>
      <c r="G53" s="103">
        <f>'BASE - Pre CV-19'!O115</f>
        <v>40606.326298433603</v>
      </c>
      <c r="I53" s="196">
        <f>D53</f>
        <v>35391.565799999997</v>
      </c>
      <c r="J53" s="197">
        <f t="shared" ref="J53:L53" si="45">E53</f>
        <v>36821.734484000001</v>
      </c>
      <c r="K53" s="197">
        <f t="shared" si="45"/>
        <v>38329.059794319997</v>
      </c>
      <c r="L53" s="198">
        <f t="shared" si="45"/>
        <v>40606.326298433603</v>
      </c>
      <c r="M53" s="138"/>
      <c r="N53" s="196">
        <f>D54</f>
        <v>34069</v>
      </c>
      <c r="O53" s="197">
        <f t="shared" ref="O53:Q53" si="46">E54</f>
        <v>40797</v>
      </c>
      <c r="P53" s="197">
        <f t="shared" si="46"/>
        <v>38330</v>
      </c>
      <c r="Q53" s="198">
        <f t="shared" si="46"/>
        <v>40606.326298433603</v>
      </c>
      <c r="R53" s="138"/>
      <c r="S53" s="196">
        <f>N53-I53</f>
        <v>-1322.5657999999967</v>
      </c>
      <c r="T53" s="197">
        <f t="shared" ref="T53:V53" si="47">O53-J53</f>
        <v>3975.2655159999995</v>
      </c>
      <c r="U53" s="197">
        <f t="shared" si="47"/>
        <v>0.94020568000269122</v>
      </c>
      <c r="V53" s="227">
        <f t="shared" si="47"/>
        <v>0</v>
      </c>
      <c r="W53" s="234"/>
    </row>
    <row r="54" spans="2:23" ht="12.75" customHeight="1" x14ac:dyDescent="0.35">
      <c r="B54" s="98"/>
      <c r="C54" s="100" t="s">
        <v>224</v>
      </c>
      <c r="D54" s="113">
        <v>34069</v>
      </c>
      <c r="E54" s="113">
        <v>40797</v>
      </c>
      <c r="F54" s="113">
        <v>38330</v>
      </c>
      <c r="G54" s="105">
        <f>G53</f>
        <v>40606.326298433603</v>
      </c>
      <c r="I54" s="216"/>
      <c r="J54" s="217"/>
      <c r="K54" s="217"/>
      <c r="L54" s="218"/>
      <c r="M54" s="138"/>
      <c r="N54" s="216"/>
      <c r="O54" s="217"/>
      <c r="P54" s="217"/>
      <c r="Q54" s="218"/>
      <c r="R54" s="138"/>
      <c r="S54" s="216"/>
      <c r="T54" s="217"/>
      <c r="U54" s="217"/>
      <c r="V54" s="229"/>
      <c r="W54" s="234"/>
    </row>
    <row r="55" spans="2:23" ht="12.75" customHeight="1" x14ac:dyDescent="0.35">
      <c r="B55" s="3" t="s">
        <v>85</v>
      </c>
      <c r="C55" s="33"/>
      <c r="D55" s="103">
        <v>293552</v>
      </c>
      <c r="E55" s="103">
        <v>302669.54000000004</v>
      </c>
      <c r="F55" s="103">
        <v>311786.00579999998</v>
      </c>
      <c r="G55" s="103">
        <f>'BASE - Pre CV-19'!O129</f>
        <v>321185.30402600003</v>
      </c>
      <c r="I55" s="196">
        <f>D55</f>
        <v>293552</v>
      </c>
      <c r="J55" s="197">
        <f t="shared" ref="J55:L55" si="48">E55</f>
        <v>302669.54000000004</v>
      </c>
      <c r="K55" s="197">
        <f t="shared" si="48"/>
        <v>311786.00579999998</v>
      </c>
      <c r="L55" s="198">
        <f t="shared" si="48"/>
        <v>321185.30402600003</v>
      </c>
      <c r="M55" s="138"/>
      <c r="N55" s="196">
        <f>D56</f>
        <v>257938</v>
      </c>
      <c r="O55" s="197">
        <f t="shared" ref="O55:Q55" si="49">E56</f>
        <v>302670</v>
      </c>
      <c r="P55" s="197">
        <f t="shared" si="49"/>
        <v>311786</v>
      </c>
      <c r="Q55" s="198">
        <f t="shared" si="49"/>
        <v>321185.30402600003</v>
      </c>
      <c r="R55" s="138"/>
      <c r="S55" s="196">
        <f>N55-I55</f>
        <v>-35614</v>
      </c>
      <c r="T55" s="197">
        <f t="shared" ref="T55:V55" si="50">O55-J55</f>
        <v>0.4599999999627471</v>
      </c>
      <c r="U55" s="197">
        <f t="shared" si="50"/>
        <v>-5.799999984446913E-3</v>
      </c>
      <c r="V55" s="227">
        <f t="shared" si="50"/>
        <v>0</v>
      </c>
      <c r="W55" s="234"/>
    </row>
    <row r="56" spans="2:23" ht="12.75" customHeight="1" x14ac:dyDescent="0.35">
      <c r="B56" s="98"/>
      <c r="C56" s="100" t="s">
        <v>224</v>
      </c>
      <c r="D56" s="113">
        <v>257938</v>
      </c>
      <c r="E56" s="113">
        <v>302670</v>
      </c>
      <c r="F56" s="113">
        <v>311786</v>
      </c>
      <c r="G56" s="105">
        <f>G55</f>
        <v>321185.30402600003</v>
      </c>
      <c r="I56" s="216"/>
      <c r="J56" s="217"/>
      <c r="K56" s="217"/>
      <c r="L56" s="218"/>
      <c r="M56" s="138"/>
      <c r="N56" s="216"/>
      <c r="O56" s="217"/>
      <c r="P56" s="217"/>
      <c r="Q56" s="218"/>
      <c r="R56" s="138"/>
      <c r="S56" s="216"/>
      <c r="T56" s="217"/>
      <c r="U56" s="217"/>
      <c r="V56" s="229"/>
      <c r="W56" s="234"/>
    </row>
    <row r="57" spans="2:23" ht="12.75" customHeight="1" x14ac:dyDescent="0.35">
      <c r="B57" s="3" t="s">
        <v>98</v>
      </c>
      <c r="C57" s="33"/>
      <c r="D57" s="103">
        <v>94932</v>
      </c>
      <c r="E57" s="103">
        <v>99678.6</v>
      </c>
      <c r="F57" s="103">
        <v>99678.6</v>
      </c>
      <c r="G57" s="103">
        <f>'BASE - Pre CV-19'!O136</f>
        <v>104662.53</v>
      </c>
      <c r="I57" s="196">
        <f>D57</f>
        <v>94932</v>
      </c>
      <c r="J57" s="197">
        <f t="shared" ref="J57:L57" si="51">E57</f>
        <v>99678.6</v>
      </c>
      <c r="K57" s="197">
        <f t="shared" si="51"/>
        <v>99678.6</v>
      </c>
      <c r="L57" s="198">
        <f t="shared" si="51"/>
        <v>104662.53</v>
      </c>
      <c r="M57" s="138"/>
      <c r="N57" s="196">
        <f>D58</f>
        <v>100854</v>
      </c>
      <c r="O57" s="197">
        <f t="shared" ref="O57:Q57" si="52">E58</f>
        <v>99678</v>
      </c>
      <c r="P57" s="197">
        <f t="shared" si="52"/>
        <v>99678</v>
      </c>
      <c r="Q57" s="198">
        <f t="shared" si="52"/>
        <v>104662.53</v>
      </c>
      <c r="R57" s="138"/>
      <c r="S57" s="196">
        <f>N57-I57</f>
        <v>5922</v>
      </c>
      <c r="T57" s="197">
        <f t="shared" ref="T57:V57" si="53">O57-J57</f>
        <v>-0.60000000000582077</v>
      </c>
      <c r="U57" s="197">
        <f t="shared" si="53"/>
        <v>-0.60000000000582077</v>
      </c>
      <c r="V57" s="227">
        <f t="shared" si="53"/>
        <v>0</v>
      </c>
      <c r="W57" s="234"/>
    </row>
    <row r="58" spans="2:23" ht="12.75" customHeight="1" x14ac:dyDescent="0.35">
      <c r="C58" s="100" t="s">
        <v>224</v>
      </c>
      <c r="D58" s="118">
        <v>100854</v>
      </c>
      <c r="E58" s="118">
        <v>99678</v>
      </c>
      <c r="F58" s="118">
        <v>99678</v>
      </c>
      <c r="G58" s="105">
        <f>G57</f>
        <v>104662.53</v>
      </c>
      <c r="I58" s="196"/>
      <c r="J58" s="197"/>
      <c r="K58" s="197"/>
      <c r="L58" s="198"/>
      <c r="M58" s="138"/>
      <c r="N58" s="196"/>
      <c r="O58" s="197"/>
      <c r="P58" s="197"/>
      <c r="Q58" s="198"/>
      <c r="R58" s="138"/>
      <c r="S58" s="196"/>
      <c r="T58" s="197"/>
      <c r="U58" s="197"/>
      <c r="V58" s="227"/>
      <c r="W58" s="234"/>
    </row>
    <row r="59" spans="2:23" ht="12.75" customHeight="1" x14ac:dyDescent="0.35">
      <c r="B59" s="3" t="s">
        <v>102</v>
      </c>
      <c r="C59" s="83"/>
      <c r="D59" s="103">
        <v>154690</v>
      </c>
      <c r="E59" s="103">
        <v>223723.99</v>
      </c>
      <c r="F59" s="103">
        <v>161081.476</v>
      </c>
      <c r="G59" s="103">
        <f>'BASE - Pre CV-19'!O145</f>
        <v>229500</v>
      </c>
      <c r="I59" s="196">
        <f>D59</f>
        <v>154690</v>
      </c>
      <c r="J59" s="197">
        <f t="shared" ref="J59:L59" si="54">E59</f>
        <v>223723.99</v>
      </c>
      <c r="K59" s="197">
        <f t="shared" si="54"/>
        <v>161081.476</v>
      </c>
      <c r="L59" s="198">
        <f t="shared" si="54"/>
        <v>229500</v>
      </c>
      <c r="M59" s="138"/>
      <c r="N59" s="196">
        <f>D60</f>
        <v>97645</v>
      </c>
      <c r="O59" s="197">
        <f t="shared" ref="O59:Q59" si="55">E60</f>
        <v>161081.476</v>
      </c>
      <c r="P59" s="197">
        <f t="shared" si="55"/>
        <v>223723.99</v>
      </c>
      <c r="Q59" s="198">
        <f t="shared" si="55"/>
        <v>229500</v>
      </c>
      <c r="R59" s="138"/>
      <c r="S59" s="196">
        <f>N59-I59</f>
        <v>-57045</v>
      </c>
      <c r="T59" s="197">
        <f t="shared" ref="T59:V59" si="56">O59-J59</f>
        <v>-62642.513999999996</v>
      </c>
      <c r="U59" s="197">
        <f t="shared" si="56"/>
        <v>62642.513999999996</v>
      </c>
      <c r="V59" s="227">
        <f t="shared" si="56"/>
        <v>0</v>
      </c>
      <c r="W59" s="234" t="s">
        <v>301</v>
      </c>
    </row>
    <row r="60" spans="2:23" ht="12.75" customHeight="1" x14ac:dyDescent="0.35">
      <c r="B60" s="98"/>
      <c r="C60" s="100" t="s">
        <v>224</v>
      </c>
      <c r="D60" s="113">
        <v>97645</v>
      </c>
      <c r="E60" s="113">
        <f>F59</f>
        <v>161081.476</v>
      </c>
      <c r="F60" s="113">
        <f>E59</f>
        <v>223723.99</v>
      </c>
      <c r="G60" s="105">
        <f>G59</f>
        <v>229500</v>
      </c>
      <c r="I60" s="216"/>
      <c r="J60" s="217"/>
      <c r="K60" s="217"/>
      <c r="L60" s="218"/>
      <c r="M60" s="138"/>
      <c r="N60" s="216"/>
      <c r="O60" s="217"/>
      <c r="P60" s="217"/>
      <c r="Q60" s="218"/>
      <c r="R60" s="138"/>
      <c r="S60" s="216"/>
      <c r="T60" s="217"/>
      <c r="U60" s="217"/>
      <c r="V60" s="229"/>
      <c r="W60" s="234"/>
    </row>
    <row r="61" spans="2:23" ht="12.75" customHeight="1" x14ac:dyDescent="0.35">
      <c r="B61" s="3" t="s">
        <v>110</v>
      </c>
      <c r="C61" s="84"/>
      <c r="D61" s="106">
        <v>121500</v>
      </c>
      <c r="E61" s="107">
        <v>4500</v>
      </c>
      <c r="F61" s="108"/>
      <c r="I61" s="222"/>
      <c r="J61" s="223"/>
      <c r="K61" s="223"/>
      <c r="L61" s="224"/>
      <c r="M61" s="138"/>
      <c r="N61" s="222"/>
      <c r="O61" s="223"/>
      <c r="P61" s="223"/>
      <c r="Q61" s="224"/>
      <c r="R61" s="138"/>
      <c r="S61" s="222"/>
      <c r="T61" s="223"/>
      <c r="U61" s="223"/>
      <c r="V61" s="231"/>
      <c r="W61" s="234"/>
    </row>
    <row r="62" spans="2:23" ht="12.75" customHeight="1" x14ac:dyDescent="0.35">
      <c r="C62" s="84"/>
      <c r="D62" s="106"/>
      <c r="E62" s="107"/>
      <c r="F62" s="108"/>
      <c r="I62" s="222"/>
      <c r="J62" s="223"/>
      <c r="K62" s="223"/>
      <c r="L62" s="224"/>
      <c r="M62" s="138"/>
      <c r="N62" s="222"/>
      <c r="O62" s="223"/>
      <c r="P62" s="223"/>
      <c r="Q62" s="224"/>
      <c r="R62" s="138"/>
      <c r="S62" s="222"/>
      <c r="T62" s="223"/>
      <c r="U62" s="223"/>
      <c r="V62" s="231"/>
      <c r="W62" s="234"/>
    </row>
    <row r="63" spans="2:23" ht="12.75" customHeight="1" x14ac:dyDescent="0.35">
      <c r="B63" s="3" t="s">
        <v>113</v>
      </c>
      <c r="C63" s="83"/>
      <c r="D63" s="103">
        <v>83000</v>
      </c>
      <c r="E63" s="103">
        <v>0</v>
      </c>
      <c r="F63" s="103">
        <v>87150</v>
      </c>
      <c r="G63" s="103">
        <f>'BASE - Pre CV-19'!O155</f>
        <v>0</v>
      </c>
      <c r="I63" s="196">
        <f>D63</f>
        <v>83000</v>
      </c>
      <c r="J63" s="197">
        <f t="shared" ref="J63:L63" si="57">E63</f>
        <v>0</v>
      </c>
      <c r="K63" s="197">
        <f t="shared" si="57"/>
        <v>87150</v>
      </c>
      <c r="L63" s="198">
        <f t="shared" si="57"/>
        <v>0</v>
      </c>
      <c r="M63" s="138"/>
      <c r="N63" s="196">
        <f>D64</f>
        <v>80453</v>
      </c>
      <c r="O63" s="197">
        <f t="shared" ref="O63:Q63" si="58">E64</f>
        <v>0</v>
      </c>
      <c r="P63" s="197">
        <f t="shared" si="58"/>
        <v>87150</v>
      </c>
      <c r="Q63" s="198">
        <f t="shared" si="58"/>
        <v>0</v>
      </c>
      <c r="R63" s="138"/>
      <c r="S63" s="196">
        <f>N63-I63</f>
        <v>-2547</v>
      </c>
      <c r="T63" s="197">
        <f t="shared" ref="T63:V63" si="59">O63-J63</f>
        <v>0</v>
      </c>
      <c r="U63" s="197">
        <f t="shared" si="59"/>
        <v>0</v>
      </c>
      <c r="V63" s="227">
        <f t="shared" si="59"/>
        <v>0</v>
      </c>
      <c r="W63" s="234"/>
    </row>
    <row r="64" spans="2:23" ht="12.75" customHeight="1" x14ac:dyDescent="0.35">
      <c r="C64" s="100" t="s">
        <v>224</v>
      </c>
      <c r="D64" s="105">
        <v>80453</v>
      </c>
      <c r="E64" s="105"/>
      <c r="F64" s="105">
        <v>87150</v>
      </c>
      <c r="G64" s="105">
        <f>G63</f>
        <v>0</v>
      </c>
      <c r="I64" s="216"/>
      <c r="J64" s="217"/>
      <c r="K64" s="217"/>
      <c r="L64" s="218"/>
      <c r="M64" s="138"/>
      <c r="N64" s="216"/>
      <c r="O64" s="217"/>
      <c r="P64" s="217"/>
      <c r="Q64" s="218"/>
      <c r="R64" s="138"/>
      <c r="S64" s="216"/>
      <c r="T64" s="217"/>
      <c r="U64" s="217"/>
      <c r="V64" s="229"/>
      <c r="W64" s="234"/>
    </row>
    <row r="65" spans="2:23" ht="12.75" customHeight="1" x14ac:dyDescent="0.35">
      <c r="B65" s="3" t="s">
        <v>115</v>
      </c>
      <c r="C65" s="83"/>
      <c r="D65" s="103">
        <v>0</v>
      </c>
      <c r="E65" s="103">
        <v>86111.3</v>
      </c>
      <c r="F65" s="103">
        <v>0</v>
      </c>
      <c r="G65" s="103">
        <f>'BASE - Pre CV-19'!O161</f>
        <v>86442.010000000009</v>
      </c>
      <c r="I65" s="196">
        <f>D65</f>
        <v>0</v>
      </c>
      <c r="J65" s="197">
        <f t="shared" ref="J65:L65" si="60">E65</f>
        <v>86111.3</v>
      </c>
      <c r="K65" s="197">
        <f t="shared" si="60"/>
        <v>0</v>
      </c>
      <c r="L65" s="198">
        <f t="shared" si="60"/>
        <v>86442.010000000009</v>
      </c>
      <c r="M65" s="138"/>
      <c r="N65" s="196">
        <f>D66</f>
        <v>0</v>
      </c>
      <c r="O65" s="197">
        <f t="shared" ref="O65:Q65" si="61">E66</f>
        <v>0</v>
      </c>
      <c r="P65" s="197">
        <f t="shared" si="61"/>
        <v>86111.3</v>
      </c>
      <c r="Q65" s="198">
        <f t="shared" si="61"/>
        <v>86442.010000000009</v>
      </c>
      <c r="R65" s="138"/>
      <c r="S65" s="196">
        <f>N65-I65</f>
        <v>0</v>
      </c>
      <c r="T65" s="197">
        <f t="shared" ref="T65:V65" si="62">O65-J65</f>
        <v>-86111.3</v>
      </c>
      <c r="U65" s="197">
        <f t="shared" si="62"/>
        <v>86111.3</v>
      </c>
      <c r="V65" s="227">
        <f t="shared" si="62"/>
        <v>0</v>
      </c>
      <c r="W65" s="234" t="s">
        <v>315</v>
      </c>
    </row>
    <row r="66" spans="2:23" ht="12.75" customHeight="1" x14ac:dyDescent="0.35">
      <c r="C66" s="100" t="s">
        <v>224</v>
      </c>
      <c r="D66" s="105"/>
      <c r="E66" s="105">
        <f>F65</f>
        <v>0</v>
      </c>
      <c r="F66" s="105">
        <f>E65</f>
        <v>86111.3</v>
      </c>
      <c r="G66" s="105">
        <f>G65</f>
        <v>86442.010000000009</v>
      </c>
      <c r="I66" s="216"/>
      <c r="J66" s="217"/>
      <c r="K66" s="217"/>
      <c r="L66" s="218"/>
      <c r="M66" s="138"/>
      <c r="N66" s="216"/>
      <c r="O66" s="217"/>
      <c r="P66" s="217"/>
      <c r="Q66" s="218"/>
      <c r="R66" s="138"/>
      <c r="S66" s="216"/>
      <c r="T66" s="217"/>
      <c r="U66" s="217"/>
      <c r="V66" s="229"/>
      <c r="W66" s="234"/>
    </row>
    <row r="67" spans="2:23" ht="12.75" customHeight="1" x14ac:dyDescent="0.35">
      <c r="B67" s="3" t="s">
        <v>120</v>
      </c>
      <c r="C67" s="83"/>
      <c r="D67" s="103">
        <v>0</v>
      </c>
      <c r="E67" s="103">
        <v>140700</v>
      </c>
      <c r="F67" s="103">
        <v>0</v>
      </c>
      <c r="G67" s="103">
        <f>'BASE - Pre CV-19'!O165</f>
        <v>147735</v>
      </c>
      <c r="I67" s="196">
        <f>D67</f>
        <v>0</v>
      </c>
      <c r="J67" s="197">
        <f t="shared" ref="J67:L67" si="63">E67</f>
        <v>140700</v>
      </c>
      <c r="K67" s="197">
        <f t="shared" si="63"/>
        <v>0</v>
      </c>
      <c r="L67" s="198">
        <f t="shared" si="63"/>
        <v>147735</v>
      </c>
      <c r="M67" s="138"/>
      <c r="N67" s="196">
        <f>D68</f>
        <v>0</v>
      </c>
      <c r="O67" s="197">
        <f t="shared" ref="O67:Q67" si="64">E68</f>
        <v>140700</v>
      </c>
      <c r="P67" s="197">
        <f t="shared" si="64"/>
        <v>0</v>
      </c>
      <c r="Q67" s="198">
        <f t="shared" si="64"/>
        <v>147735</v>
      </c>
      <c r="R67" s="138"/>
      <c r="S67" s="196">
        <f>N67-I67</f>
        <v>0</v>
      </c>
      <c r="T67" s="197">
        <f t="shared" ref="T67:V67" si="65">O67-J67</f>
        <v>0</v>
      </c>
      <c r="U67" s="197">
        <f t="shared" si="65"/>
        <v>0</v>
      </c>
      <c r="V67" s="227">
        <f t="shared" si="65"/>
        <v>0</v>
      </c>
      <c r="W67" s="234"/>
    </row>
    <row r="68" spans="2:23" ht="12.75" customHeight="1" x14ac:dyDescent="0.35">
      <c r="C68" s="100" t="s">
        <v>224</v>
      </c>
      <c r="D68" s="105"/>
      <c r="E68" s="105">
        <v>140700</v>
      </c>
      <c r="F68" s="105"/>
      <c r="G68" s="105">
        <f>G67</f>
        <v>147735</v>
      </c>
      <c r="I68" s="216"/>
      <c r="J68" s="217"/>
      <c r="K68" s="217"/>
      <c r="L68" s="218"/>
      <c r="M68" s="138"/>
      <c r="N68" s="216"/>
      <c r="O68" s="217"/>
      <c r="P68" s="217"/>
      <c r="Q68" s="218"/>
      <c r="R68" s="138"/>
      <c r="S68" s="216"/>
      <c r="T68" s="217"/>
      <c r="U68" s="217"/>
      <c r="V68" s="229"/>
      <c r="W68" s="234"/>
    </row>
    <row r="69" spans="2:23" ht="12.75" customHeight="1" x14ac:dyDescent="0.35">
      <c r="B69" s="3" t="s">
        <v>122</v>
      </c>
      <c r="C69" s="83"/>
      <c r="D69" s="103">
        <v>10000</v>
      </c>
      <c r="E69" s="103">
        <v>10000</v>
      </c>
      <c r="F69" s="103">
        <v>10000</v>
      </c>
      <c r="G69" s="103">
        <f>'BASE - Pre CV-19'!O169</f>
        <v>16000</v>
      </c>
      <c r="I69" s="196">
        <f>D69</f>
        <v>10000</v>
      </c>
      <c r="J69" s="197">
        <f t="shared" ref="J69:L69" si="66">E69</f>
        <v>10000</v>
      </c>
      <c r="K69" s="197">
        <f t="shared" si="66"/>
        <v>10000</v>
      </c>
      <c r="L69" s="198">
        <f t="shared" si="66"/>
        <v>16000</v>
      </c>
      <c r="M69" s="138"/>
      <c r="N69" s="196">
        <f>D70</f>
        <v>769</v>
      </c>
      <c r="O69" s="197">
        <f t="shared" ref="O69:Q69" si="67">E70</f>
        <v>10000</v>
      </c>
      <c r="P69" s="197">
        <f t="shared" si="67"/>
        <v>10000</v>
      </c>
      <c r="Q69" s="198">
        <f t="shared" si="67"/>
        <v>16000</v>
      </c>
      <c r="R69" s="138"/>
      <c r="S69" s="196">
        <f>N69-I69</f>
        <v>-9231</v>
      </c>
      <c r="T69" s="197">
        <f t="shared" ref="T69:V69" si="68">O69-J69</f>
        <v>0</v>
      </c>
      <c r="U69" s="197">
        <f t="shared" si="68"/>
        <v>0</v>
      </c>
      <c r="V69" s="227">
        <f t="shared" si="68"/>
        <v>0</v>
      </c>
      <c r="W69" s="234"/>
    </row>
    <row r="70" spans="2:23" ht="12.75" customHeight="1" x14ac:dyDescent="0.35">
      <c r="B70" s="98"/>
      <c r="C70" s="100" t="s">
        <v>224</v>
      </c>
      <c r="D70" s="113">
        <v>769</v>
      </c>
      <c r="E70" s="113">
        <v>10000</v>
      </c>
      <c r="F70" s="113">
        <v>10000</v>
      </c>
      <c r="G70" s="105">
        <f>G69</f>
        <v>16000</v>
      </c>
      <c r="I70" s="216"/>
      <c r="J70" s="217"/>
      <c r="K70" s="217"/>
      <c r="L70" s="218"/>
      <c r="M70" s="138"/>
      <c r="N70" s="216"/>
      <c r="O70" s="217"/>
      <c r="P70" s="217"/>
      <c r="Q70" s="218"/>
      <c r="R70" s="138"/>
      <c r="S70" s="216"/>
      <c r="T70" s="217"/>
      <c r="U70" s="217"/>
      <c r="V70" s="229"/>
      <c r="W70" s="234"/>
    </row>
    <row r="71" spans="2:23" ht="12.75" customHeight="1" thickBot="1" x14ac:dyDescent="0.4">
      <c r="B71" s="6" t="s">
        <v>125</v>
      </c>
      <c r="C71" s="85"/>
      <c r="D71" s="103">
        <f>D69+D67+D65+D63+D61</f>
        <v>214500</v>
      </c>
      <c r="E71" s="103">
        <f>E69+E67+E65+E63+E61</f>
        <v>241311.3</v>
      </c>
      <c r="F71" s="103">
        <f>F69+F67+F65+F63</f>
        <v>97150</v>
      </c>
      <c r="G71" s="103">
        <f>'BASE - Pre CV-19'!O171</f>
        <v>253677.01</v>
      </c>
      <c r="I71" s="196">
        <f>D71</f>
        <v>214500</v>
      </c>
      <c r="J71" s="197">
        <f t="shared" ref="J71:L71" si="69">E71</f>
        <v>241311.3</v>
      </c>
      <c r="K71" s="197">
        <f t="shared" si="69"/>
        <v>97150</v>
      </c>
      <c r="L71" s="198">
        <f t="shared" si="69"/>
        <v>253677.01</v>
      </c>
      <c r="M71" s="138"/>
      <c r="N71" s="196">
        <f>D72</f>
        <v>81278.22</v>
      </c>
      <c r="O71" s="197">
        <f t="shared" ref="O71:Q71" si="70">E72</f>
        <v>155200</v>
      </c>
      <c r="P71" s="197">
        <f t="shared" si="70"/>
        <v>183261.3</v>
      </c>
      <c r="Q71" s="198">
        <f t="shared" si="70"/>
        <v>253677.01</v>
      </c>
      <c r="R71" s="138"/>
      <c r="S71" s="196">
        <f>N71-I71</f>
        <v>-133221.78</v>
      </c>
      <c r="T71" s="197">
        <f t="shared" ref="T71:V71" si="71">O71-J71</f>
        <v>-86111.299999999988</v>
      </c>
      <c r="U71" s="197">
        <f t="shared" si="71"/>
        <v>86111.299999999988</v>
      </c>
      <c r="V71" s="227">
        <f t="shared" si="71"/>
        <v>0</v>
      </c>
      <c r="W71" s="234" t="s">
        <v>302</v>
      </c>
    </row>
    <row r="72" spans="2:23" ht="12.75" customHeight="1" thickTop="1" x14ac:dyDescent="0.35">
      <c r="B72" s="98"/>
      <c r="C72" s="100" t="s">
        <v>224</v>
      </c>
      <c r="D72" s="105">
        <f>D70+D68+D66+D64+56.22</f>
        <v>81278.22</v>
      </c>
      <c r="E72" s="105">
        <f>E70+E68+E66+E64+4500</f>
        <v>155200</v>
      </c>
      <c r="F72" s="105">
        <f>F70+F68+F66+F64</f>
        <v>183261.3</v>
      </c>
      <c r="G72" s="105">
        <f>G71</f>
        <v>253677.01</v>
      </c>
      <c r="I72" s="216"/>
      <c r="J72" s="217"/>
      <c r="K72" s="217"/>
      <c r="L72" s="218"/>
      <c r="M72" s="138"/>
      <c r="N72" s="216"/>
      <c r="O72" s="217"/>
      <c r="P72" s="217"/>
      <c r="Q72" s="218"/>
      <c r="R72" s="138"/>
      <c r="S72" s="216"/>
      <c r="T72" s="217"/>
      <c r="U72" s="217"/>
      <c r="V72" s="229"/>
      <c r="W72" s="234"/>
    </row>
    <row r="73" spans="2:23" ht="12.75" customHeight="1" thickBot="1" x14ac:dyDescent="0.4">
      <c r="B73" s="6" t="s">
        <v>126</v>
      </c>
      <c r="C73" s="85"/>
      <c r="D73" s="103">
        <f>D71+D59+D57+D55+D53+D51</f>
        <v>859765.56579999998</v>
      </c>
      <c r="E73" s="103">
        <f>E71+E59+E57+E55+E53+E51</f>
        <v>970039.16448400007</v>
      </c>
      <c r="F73" s="103">
        <f>F71+F59+F57+F55+F53+F51</f>
        <v>777015.14159432007</v>
      </c>
      <c r="G73" s="103">
        <f>'BASE - Pre CV-19'!O173</f>
        <v>1016616.2959244336</v>
      </c>
      <c r="H73">
        <f>G71+G59+G57+G55+G53+G51</f>
        <v>1016616.2959244336</v>
      </c>
      <c r="I73" s="196">
        <f>D73</f>
        <v>859765.56579999998</v>
      </c>
      <c r="J73" s="197">
        <f t="shared" ref="J73:L73" si="72">E73</f>
        <v>970039.16448400007</v>
      </c>
      <c r="K73" s="197">
        <f t="shared" si="72"/>
        <v>777015.14159432007</v>
      </c>
      <c r="L73" s="198">
        <f t="shared" si="72"/>
        <v>1016616.2959244336</v>
      </c>
      <c r="M73" s="138"/>
      <c r="N73" s="196">
        <f>D74</f>
        <v>723843.22</v>
      </c>
      <c r="O73" s="197">
        <f t="shared" ref="O73:Q73" si="73">E74</f>
        <v>825260.47600000002</v>
      </c>
      <c r="P73" s="197">
        <f t="shared" si="73"/>
        <v>925769.29</v>
      </c>
      <c r="Q73" s="198">
        <f t="shared" si="73"/>
        <v>1016616.2959244336</v>
      </c>
      <c r="R73" s="138"/>
      <c r="S73" s="196">
        <f>N73-I73</f>
        <v>-135922.34580000001</v>
      </c>
      <c r="T73" s="197">
        <f t="shared" ref="T73:V73" si="74">O73-J73</f>
        <v>-144778.68848400004</v>
      </c>
      <c r="U73" s="197">
        <f t="shared" si="74"/>
        <v>148754.14840567997</v>
      </c>
      <c r="V73" s="227">
        <f t="shared" si="74"/>
        <v>0</v>
      </c>
      <c r="W73" s="234"/>
    </row>
    <row r="74" spans="2:23" ht="12.75" customHeight="1" thickTop="1" x14ac:dyDescent="0.35">
      <c r="B74" s="98"/>
      <c r="C74" s="100" t="s">
        <v>224</v>
      </c>
      <c r="D74" s="113">
        <f>D72+D60+D56+D54+D52+D50+D58</f>
        <v>723843.22</v>
      </c>
      <c r="E74" s="113">
        <f>E72+E60+E56+E54+E52+E50+E58</f>
        <v>825260.47600000002</v>
      </c>
      <c r="F74" s="113">
        <f>F72+F60+F56+F54+F52+F50+F58</f>
        <v>925769.29</v>
      </c>
      <c r="G74" s="105">
        <f>G73</f>
        <v>1016616.2959244336</v>
      </c>
      <c r="I74" s="216"/>
      <c r="J74" s="217"/>
      <c r="K74" s="217"/>
      <c r="L74" s="218"/>
      <c r="M74" s="138"/>
      <c r="N74" s="216"/>
      <c r="O74" s="217"/>
      <c r="P74" s="217"/>
      <c r="Q74" s="218"/>
      <c r="R74" s="138"/>
      <c r="S74" s="216"/>
      <c r="T74" s="217"/>
      <c r="U74" s="217"/>
      <c r="V74" s="229"/>
      <c r="W74" s="234"/>
    </row>
    <row r="75" spans="2:23" ht="12.75" customHeight="1" thickBot="1" x14ac:dyDescent="0.4">
      <c r="B75" s="6" t="s">
        <v>168</v>
      </c>
      <c r="C75" s="85" t="s">
        <v>227</v>
      </c>
      <c r="D75" s="103">
        <f>D45-D73</f>
        <v>20146.91165454546</v>
      </c>
      <c r="E75" s="103">
        <f>E45-E73</f>
        <v>28002.241343272734</v>
      </c>
      <c r="F75" s="103">
        <f>F45-F73</f>
        <v>24696.242024316452</v>
      </c>
      <c r="G75" s="103">
        <f>G45-G73</f>
        <v>17632.107268206193</v>
      </c>
      <c r="I75" s="199">
        <f>D75</f>
        <v>20146.91165454546</v>
      </c>
      <c r="J75" s="200">
        <f t="shared" ref="J75:L75" si="75">E75</f>
        <v>28002.241343272734</v>
      </c>
      <c r="K75" s="200">
        <f t="shared" si="75"/>
        <v>24696.242024316452</v>
      </c>
      <c r="L75" s="201">
        <f t="shared" si="75"/>
        <v>17632.107268206193</v>
      </c>
      <c r="M75" s="138"/>
      <c r="N75" s="199">
        <f>D76</f>
        <v>68454.780000000028</v>
      </c>
      <c r="O75" s="200">
        <f t="shared" ref="O75:Q75" si="76">E76</f>
        <v>37046.523999999976</v>
      </c>
      <c r="P75" s="200">
        <f t="shared" si="76"/>
        <v>-4034.6899999999441</v>
      </c>
      <c r="Q75" s="201">
        <f t="shared" si="76"/>
        <v>17632.107268206193</v>
      </c>
      <c r="R75" s="138"/>
      <c r="S75" s="199">
        <f>N75-I75</f>
        <v>48307.868345454568</v>
      </c>
      <c r="T75" s="200">
        <f t="shared" ref="T75:V75" si="77">O75-J75</f>
        <v>9044.2826567272423</v>
      </c>
      <c r="U75" s="200">
        <f t="shared" si="77"/>
        <v>-28730.932024316397</v>
      </c>
      <c r="V75" s="232">
        <f t="shared" si="77"/>
        <v>0</v>
      </c>
      <c r="W75" s="235"/>
    </row>
    <row r="76" spans="2:23" ht="12.75" customHeight="1" thickTop="1" x14ac:dyDescent="0.35">
      <c r="B76" s="98"/>
      <c r="C76" s="100" t="s">
        <v>224</v>
      </c>
      <c r="D76" s="113">
        <f>D46-D74</f>
        <v>68454.780000000028</v>
      </c>
      <c r="E76" s="113">
        <f>E46-E74</f>
        <v>37046.523999999976</v>
      </c>
      <c r="F76" s="135">
        <f>F46-F74</f>
        <v>-4034.6899999999441</v>
      </c>
      <c r="G76" s="113">
        <f>G46-G74</f>
        <v>17632.107268206193</v>
      </c>
      <c r="I76" s="138"/>
      <c r="J76" s="138"/>
      <c r="K76" s="138"/>
      <c r="L76" s="138"/>
      <c r="M76" s="138"/>
      <c r="N76" s="138"/>
      <c r="O76" s="138"/>
      <c r="P76" s="138"/>
      <c r="Q76" s="138"/>
      <c r="R76" s="138"/>
      <c r="S76" s="138"/>
      <c r="T76" s="138"/>
      <c r="U76" s="138"/>
      <c r="V76" s="138"/>
    </row>
    <row r="77" spans="2:23" ht="16.5" customHeight="1" x14ac:dyDescent="0.35"/>
    <row r="78" spans="2:23" ht="12.75" customHeight="1" x14ac:dyDescent="0.35">
      <c r="C78" s="78"/>
      <c r="D78" s="47">
        <v>43983</v>
      </c>
      <c r="E78" s="46">
        <v>44348</v>
      </c>
      <c r="F78" s="46">
        <v>44713</v>
      </c>
      <c r="G78" s="46">
        <v>45078</v>
      </c>
    </row>
    <row r="79" spans="2:23" ht="12.75" customHeight="1" x14ac:dyDescent="0.35">
      <c r="B79" s="31"/>
      <c r="C79" s="79"/>
      <c r="D79" s="9" t="s">
        <v>132</v>
      </c>
      <c r="E79" s="44" t="s">
        <v>132</v>
      </c>
      <c r="F79" s="9" t="s">
        <v>132</v>
      </c>
      <c r="G79" s="9" t="s">
        <v>132</v>
      </c>
    </row>
    <row r="80" spans="2:23" ht="12.75" customHeight="1" x14ac:dyDescent="0.35">
      <c r="B80" s="31"/>
      <c r="D80" s="31"/>
      <c r="E80" s="31"/>
    </row>
    <row r="81" spans="2:5" ht="12.75" customHeight="1" x14ac:dyDescent="0.35">
      <c r="B81" s="31"/>
      <c r="D81" s="31"/>
      <c r="E81" s="31"/>
    </row>
    <row r="82" spans="2:5" ht="12.75" customHeight="1" x14ac:dyDescent="0.35">
      <c r="B82" s="26"/>
      <c r="D82" s="31"/>
      <c r="E82" s="31"/>
    </row>
    <row r="83" spans="2:5" ht="27.75" customHeight="1" x14ac:dyDescent="0.35">
      <c r="B83" s="26"/>
      <c r="D83" s="31"/>
      <c r="E83" s="31"/>
    </row>
    <row r="84" spans="2:5" ht="12.75" customHeight="1" x14ac:dyDescent="0.35">
      <c r="B84" s="54"/>
      <c r="D84" s="31"/>
      <c r="E84" s="31"/>
    </row>
    <row r="85" spans="2:5" ht="12.75" customHeight="1" x14ac:dyDescent="0.35">
      <c r="B85" s="54"/>
      <c r="D85" s="31"/>
      <c r="E85" s="31"/>
    </row>
    <row r="86" spans="2:5" ht="12.75" customHeight="1" x14ac:dyDescent="0.35">
      <c r="B86" s="55"/>
      <c r="D86" s="31"/>
      <c r="E86" s="31"/>
    </row>
    <row r="87" spans="2:5" ht="12.75" customHeight="1" x14ac:dyDescent="0.35">
      <c r="B87" s="54"/>
      <c r="D87" s="31"/>
      <c r="E87" s="31"/>
    </row>
    <row r="88" spans="2:5" ht="12.75" customHeight="1" x14ac:dyDescent="0.35">
      <c r="B88" s="54"/>
      <c r="D88" s="31"/>
      <c r="E88" s="31"/>
    </row>
    <row r="89" spans="2:5" ht="12.75" customHeight="1" x14ac:dyDescent="0.35">
      <c r="B89" s="55"/>
      <c r="D89" s="31"/>
      <c r="E89" s="31"/>
    </row>
    <row r="90" spans="2:5" ht="12.75" customHeight="1" x14ac:dyDescent="0.35">
      <c r="B90" s="55"/>
      <c r="D90" s="31"/>
      <c r="E90" s="31"/>
    </row>
    <row r="91" spans="2:5" ht="12.75" customHeight="1" x14ac:dyDescent="0.35">
      <c r="B91" s="54"/>
      <c r="D91" s="31"/>
      <c r="E91" s="31"/>
    </row>
    <row r="92" spans="2:5" ht="12.75" customHeight="1" x14ac:dyDescent="0.35">
      <c r="B92" s="54"/>
      <c r="D92" s="31"/>
      <c r="E92" s="31"/>
    </row>
    <row r="93" spans="2:5" ht="12.75" customHeight="1" x14ac:dyDescent="0.35">
      <c r="B93" s="54"/>
      <c r="D93" s="31"/>
      <c r="E93" s="31"/>
    </row>
    <row r="94" spans="2:5" ht="12.75" customHeight="1" x14ac:dyDescent="0.35">
      <c r="B94" s="54"/>
      <c r="D94" s="31"/>
      <c r="E94" s="31"/>
    </row>
    <row r="95" spans="2:5" ht="12.75" customHeight="1" x14ac:dyDescent="0.35">
      <c r="B95" s="54"/>
      <c r="D95" s="31"/>
      <c r="E95" s="31"/>
    </row>
    <row r="96" spans="2:5" ht="12.75" customHeight="1" x14ac:dyDescent="0.35">
      <c r="B96" s="54"/>
      <c r="D96" s="31"/>
      <c r="E96" s="31"/>
    </row>
    <row r="97" spans="2:5" ht="12.75" customHeight="1" x14ac:dyDescent="0.35">
      <c r="B97" s="55"/>
      <c r="D97" s="31"/>
      <c r="E97" s="31"/>
    </row>
    <row r="98" spans="2:5" ht="12.75" customHeight="1" x14ac:dyDescent="0.35">
      <c r="B98" s="54"/>
      <c r="D98" s="31"/>
      <c r="E98" s="31"/>
    </row>
    <row r="99" spans="2:5" ht="12.75" customHeight="1" x14ac:dyDescent="0.35">
      <c r="B99" s="55"/>
      <c r="D99" s="31"/>
      <c r="E99" s="31"/>
    </row>
    <row r="100" spans="2:5" ht="12.75" customHeight="1" x14ac:dyDescent="0.35">
      <c r="B100" s="55"/>
      <c r="D100" s="31"/>
      <c r="E100" s="31"/>
    </row>
    <row r="101" spans="2:5" ht="12.75" customHeight="1" x14ac:dyDescent="0.35">
      <c r="B101" s="54"/>
      <c r="D101" s="31"/>
      <c r="E101" s="31"/>
    </row>
    <row r="102" spans="2:5" ht="12.75" customHeight="1" x14ac:dyDescent="0.35">
      <c r="B102" s="55"/>
      <c r="D102" s="31"/>
      <c r="E102" s="31"/>
    </row>
    <row r="103" spans="2:5" ht="12.75" customHeight="1" x14ac:dyDescent="0.35">
      <c r="B103" s="54"/>
      <c r="D103" s="31"/>
      <c r="E103" s="31"/>
    </row>
    <row r="104" spans="2:5" ht="12.75" customHeight="1" x14ac:dyDescent="0.35">
      <c r="B104" s="54"/>
      <c r="D104" s="31"/>
      <c r="E104" s="31"/>
    </row>
    <row r="105" spans="2:5" ht="12.75" customHeight="1" x14ac:dyDescent="0.35">
      <c r="B105" s="54"/>
      <c r="D105" s="31"/>
      <c r="E105" s="31"/>
    </row>
    <row r="106" spans="2:5" ht="12.75" customHeight="1" x14ac:dyDescent="0.35">
      <c r="B106" s="54"/>
      <c r="D106" s="31"/>
      <c r="E106" s="31"/>
    </row>
    <row r="107" spans="2:5" ht="12.75" customHeight="1" x14ac:dyDescent="0.35">
      <c r="B107" s="54"/>
      <c r="D107" s="31"/>
      <c r="E107" s="31"/>
    </row>
    <row r="108" spans="2:5" ht="12.75" customHeight="1" x14ac:dyDescent="0.35">
      <c r="B108" s="54"/>
      <c r="D108" s="31"/>
      <c r="E108" s="31"/>
    </row>
    <row r="109" spans="2:5" ht="12.75" customHeight="1" x14ac:dyDescent="0.35">
      <c r="B109" s="54"/>
      <c r="D109" s="31"/>
      <c r="E109" s="31"/>
    </row>
    <row r="110" spans="2:5" ht="12.75" customHeight="1" x14ac:dyDescent="0.35">
      <c r="B110" s="54"/>
      <c r="D110" s="31"/>
      <c r="E110" s="31"/>
    </row>
    <row r="111" spans="2:5" ht="12.75" customHeight="1" x14ac:dyDescent="0.35">
      <c r="B111" s="54"/>
      <c r="D111" s="31"/>
      <c r="E111" s="31"/>
    </row>
    <row r="112" spans="2:5" ht="12.75" customHeight="1" x14ac:dyDescent="0.35">
      <c r="B112" s="54"/>
      <c r="D112" s="31"/>
      <c r="E112" s="31"/>
    </row>
    <row r="113" spans="2:5" ht="12.75" customHeight="1" x14ac:dyDescent="0.35">
      <c r="B113" s="54"/>
      <c r="D113" s="31"/>
      <c r="E113" s="31"/>
    </row>
    <row r="114" spans="2:5" ht="12.75" customHeight="1" x14ac:dyDescent="0.35">
      <c r="B114" s="54"/>
      <c r="D114" s="31"/>
      <c r="E114" s="31"/>
    </row>
    <row r="115" spans="2:5" ht="12.75" customHeight="1" x14ac:dyDescent="0.35">
      <c r="B115" s="54"/>
      <c r="D115" s="31"/>
      <c r="E115" s="31"/>
    </row>
    <row r="116" spans="2:5" ht="12.75" customHeight="1" x14ac:dyDescent="0.35">
      <c r="B116" s="31"/>
      <c r="D116" s="31"/>
      <c r="E116" s="31"/>
    </row>
    <row r="117" spans="2:5" ht="12.75" customHeight="1" x14ac:dyDescent="0.35">
      <c r="B117" s="31"/>
      <c r="D117" s="31"/>
      <c r="E117" s="31"/>
    </row>
    <row r="118" spans="2:5" ht="12.75" customHeight="1" x14ac:dyDescent="0.35">
      <c r="B118" s="31"/>
      <c r="D118" s="31"/>
      <c r="E118" s="31"/>
    </row>
    <row r="119" spans="2:5" ht="12.75" customHeight="1" x14ac:dyDescent="0.35">
      <c r="B119" s="31"/>
      <c r="D119" s="31"/>
      <c r="E119" s="31"/>
    </row>
    <row r="120" spans="2:5" ht="12.75" customHeight="1" x14ac:dyDescent="0.35">
      <c r="B120" s="31"/>
      <c r="D120" s="31"/>
      <c r="E120" s="31"/>
    </row>
    <row r="121" spans="2:5" ht="12.75" customHeight="1" x14ac:dyDescent="0.35">
      <c r="B121" s="31"/>
      <c r="D121" s="31"/>
      <c r="E121" s="31"/>
    </row>
    <row r="122" spans="2:5" ht="12.75" customHeight="1" x14ac:dyDescent="0.35">
      <c r="B122" s="31"/>
      <c r="D122" s="31"/>
      <c r="E122" s="31"/>
    </row>
    <row r="123" spans="2:5" ht="12.75" customHeight="1" x14ac:dyDescent="0.35">
      <c r="B123" s="31"/>
      <c r="D123" s="31"/>
      <c r="E123" s="31"/>
    </row>
    <row r="124" spans="2:5" ht="12.75" customHeight="1" x14ac:dyDescent="0.35">
      <c r="B124" s="31"/>
      <c r="D124" s="31"/>
      <c r="E124" s="31"/>
    </row>
    <row r="125" spans="2:5" ht="12.75" customHeight="1" x14ac:dyDescent="0.35">
      <c r="B125" s="31"/>
      <c r="D125" s="31"/>
      <c r="E125" s="31"/>
    </row>
    <row r="126" spans="2:5" ht="12.75" customHeight="1" x14ac:dyDescent="0.35">
      <c r="B126" s="31"/>
      <c r="D126" s="31"/>
      <c r="E126" s="31"/>
    </row>
    <row r="127" spans="2:5" ht="12.75" customHeight="1" x14ac:dyDescent="0.35">
      <c r="B127" s="31"/>
      <c r="D127" s="31"/>
      <c r="E127" s="31"/>
    </row>
    <row r="128" spans="2:5" ht="12.75" customHeight="1" x14ac:dyDescent="0.35">
      <c r="B128" s="31"/>
      <c r="D128" s="31"/>
      <c r="E128" s="31"/>
    </row>
    <row r="129" spans="2:5" ht="12.75" customHeight="1" x14ac:dyDescent="0.35">
      <c r="B129" s="31"/>
      <c r="D129" s="31"/>
      <c r="E129" s="31"/>
    </row>
    <row r="130" spans="2:5" ht="12.75" customHeight="1" x14ac:dyDescent="0.35">
      <c r="B130" s="31"/>
      <c r="D130" s="31"/>
      <c r="E130" s="31"/>
    </row>
    <row r="131" spans="2:5" ht="12.75" customHeight="1" x14ac:dyDescent="0.35">
      <c r="B131" s="31"/>
      <c r="D131" s="31"/>
      <c r="E131" s="31"/>
    </row>
    <row r="132" spans="2:5" ht="12.75" customHeight="1" x14ac:dyDescent="0.35">
      <c r="B132" s="31"/>
      <c r="D132" s="31"/>
      <c r="E132" s="31"/>
    </row>
    <row r="133" spans="2:5" ht="12.75" customHeight="1" x14ac:dyDescent="0.35">
      <c r="B133" s="31"/>
      <c r="D133" s="31"/>
      <c r="E133" s="31"/>
    </row>
    <row r="134" spans="2:5" ht="12.75" customHeight="1" x14ac:dyDescent="0.35">
      <c r="B134" s="31"/>
      <c r="D134" s="31"/>
      <c r="E134" s="31"/>
    </row>
    <row r="135" spans="2:5" ht="12.75" customHeight="1" x14ac:dyDescent="0.35">
      <c r="B135" s="31"/>
      <c r="D135" s="31"/>
      <c r="E135" s="31"/>
    </row>
    <row r="136" spans="2:5" ht="12.75" customHeight="1" x14ac:dyDescent="0.35">
      <c r="B136" s="31"/>
      <c r="D136" s="31"/>
      <c r="E136" s="31"/>
    </row>
    <row r="137" spans="2:5" ht="12.75" customHeight="1" x14ac:dyDescent="0.35">
      <c r="B137" s="31"/>
      <c r="D137" s="31"/>
      <c r="E137" s="31"/>
    </row>
    <row r="138" spans="2:5" ht="12.75" customHeight="1" x14ac:dyDescent="0.35">
      <c r="B138" s="31"/>
      <c r="D138" s="31"/>
      <c r="E138" s="31"/>
    </row>
    <row r="139" spans="2:5" ht="12.75" customHeight="1" x14ac:dyDescent="0.35">
      <c r="B139" s="31"/>
      <c r="D139" s="31"/>
      <c r="E139" s="31"/>
    </row>
    <row r="140" spans="2:5" ht="12.75" customHeight="1" x14ac:dyDescent="0.35">
      <c r="B140" s="31"/>
      <c r="D140" s="31"/>
      <c r="E140" s="31"/>
    </row>
    <row r="141" spans="2:5" ht="12.75" customHeight="1" x14ac:dyDescent="0.35">
      <c r="B141" s="31"/>
      <c r="D141" s="31"/>
      <c r="E141" s="31"/>
    </row>
    <row r="142" spans="2:5" ht="12.75" customHeight="1" x14ac:dyDescent="0.35">
      <c r="B142" s="31"/>
      <c r="D142" s="31"/>
      <c r="E142" s="31"/>
    </row>
    <row r="143" spans="2:5" ht="12.75" customHeight="1" x14ac:dyDescent="0.35">
      <c r="B143" s="31"/>
      <c r="D143" s="31"/>
      <c r="E143" s="31"/>
    </row>
    <row r="144" spans="2:5" ht="12.75" customHeight="1" x14ac:dyDescent="0.35">
      <c r="B144" s="31"/>
      <c r="D144" s="31"/>
      <c r="E144" s="31"/>
    </row>
    <row r="145" spans="2:5" ht="12.75" customHeight="1" x14ac:dyDescent="0.35">
      <c r="B145" s="31"/>
      <c r="D145" s="31"/>
      <c r="E145" s="31"/>
    </row>
    <row r="146" spans="2:5" ht="12.75" customHeight="1" x14ac:dyDescent="0.35">
      <c r="B146" s="31"/>
      <c r="D146" s="31"/>
      <c r="E146" s="31"/>
    </row>
    <row r="147" spans="2:5" ht="12.75" customHeight="1" x14ac:dyDescent="0.35">
      <c r="B147" s="31"/>
      <c r="D147" s="31"/>
      <c r="E147" s="31"/>
    </row>
    <row r="148" spans="2:5" ht="12.75" customHeight="1" x14ac:dyDescent="0.35">
      <c r="B148" s="31"/>
      <c r="D148" s="31"/>
      <c r="E148" s="31"/>
    </row>
    <row r="149" spans="2:5" ht="12.75" customHeight="1" x14ac:dyDescent="0.35">
      <c r="B149" s="31"/>
      <c r="D149" s="31"/>
      <c r="E149" s="31"/>
    </row>
    <row r="150" spans="2:5" ht="12.75" customHeight="1" x14ac:dyDescent="0.35">
      <c r="B150" s="31"/>
      <c r="D150" s="31"/>
      <c r="E150" s="31"/>
    </row>
    <row r="151" spans="2:5" ht="12.75" customHeight="1" x14ac:dyDescent="0.35">
      <c r="B151" s="31"/>
      <c r="D151" s="31"/>
      <c r="E151" s="31"/>
    </row>
    <row r="152" spans="2:5" ht="12.75" customHeight="1" x14ac:dyDescent="0.35">
      <c r="B152" s="31"/>
      <c r="D152" s="31"/>
      <c r="E152" s="31"/>
    </row>
    <row r="153" spans="2:5" ht="12.75" customHeight="1" x14ac:dyDescent="0.35">
      <c r="B153" s="31"/>
      <c r="D153" s="31"/>
      <c r="E153" s="31"/>
    </row>
    <row r="154" spans="2:5" ht="12.75" customHeight="1" x14ac:dyDescent="0.35">
      <c r="B154" s="31"/>
      <c r="D154" s="31"/>
      <c r="E154" s="31"/>
    </row>
    <row r="155" spans="2:5" ht="12.75" customHeight="1" x14ac:dyDescent="0.35">
      <c r="B155" s="31"/>
      <c r="D155" s="31"/>
      <c r="E155" s="31"/>
    </row>
    <row r="156" spans="2:5" ht="12.75" customHeight="1" x14ac:dyDescent="0.35">
      <c r="B156" s="31"/>
      <c r="D156" s="31"/>
      <c r="E156" s="31"/>
    </row>
    <row r="157" spans="2:5" ht="12.75" customHeight="1" x14ac:dyDescent="0.35">
      <c r="B157" s="31"/>
      <c r="D157" s="31"/>
      <c r="E157" s="31"/>
    </row>
    <row r="158" spans="2:5" ht="12.75" customHeight="1" x14ac:dyDescent="0.35">
      <c r="B158" s="31"/>
      <c r="D158" s="31"/>
      <c r="E158" s="31"/>
    </row>
    <row r="159" spans="2:5" ht="12.75" customHeight="1" x14ac:dyDescent="0.35">
      <c r="B159" s="31"/>
      <c r="D159" s="31"/>
      <c r="E159" s="31"/>
    </row>
    <row r="160" spans="2:5" ht="12.75" customHeight="1" x14ac:dyDescent="0.35">
      <c r="B160" s="31"/>
      <c r="D160" s="31"/>
      <c r="E160" s="31"/>
    </row>
    <row r="161" spans="2:5" ht="12.75" customHeight="1" x14ac:dyDescent="0.35">
      <c r="B161" s="31"/>
      <c r="D161" s="31"/>
      <c r="E161" s="31"/>
    </row>
    <row r="162" spans="2:5" ht="12.75" customHeight="1" x14ac:dyDescent="0.35">
      <c r="B162" s="31"/>
      <c r="D162" s="31"/>
      <c r="E162" s="31"/>
    </row>
    <row r="163" spans="2:5" ht="12.75" customHeight="1" x14ac:dyDescent="0.35">
      <c r="B163" s="31"/>
      <c r="D163" s="31"/>
      <c r="E163" s="31"/>
    </row>
    <row r="164" spans="2:5" ht="12.75" customHeight="1" x14ac:dyDescent="0.35">
      <c r="B164" s="31"/>
      <c r="D164" s="31"/>
      <c r="E164" s="31"/>
    </row>
    <row r="165" spans="2:5" ht="12.75" customHeight="1" x14ac:dyDescent="0.35">
      <c r="B165" s="31"/>
      <c r="D165" s="31"/>
      <c r="E165" s="31"/>
    </row>
    <row r="166" spans="2:5" ht="12.75" customHeight="1" x14ac:dyDescent="0.35">
      <c r="B166" s="31"/>
      <c r="D166" s="31"/>
      <c r="E166" s="31"/>
    </row>
    <row r="167" spans="2:5" ht="12.75" customHeight="1" x14ac:dyDescent="0.35">
      <c r="B167" s="31"/>
      <c r="D167" s="31"/>
      <c r="E167" s="31"/>
    </row>
    <row r="168" spans="2:5" ht="12.75" customHeight="1" x14ac:dyDescent="0.35">
      <c r="B168" s="31"/>
      <c r="D168" s="31"/>
      <c r="E168" s="31"/>
    </row>
    <row r="169" spans="2:5" ht="12.75" customHeight="1" x14ac:dyDescent="0.35">
      <c r="B169" s="31"/>
      <c r="D169" s="31"/>
      <c r="E169" s="31"/>
    </row>
    <row r="170" spans="2:5" ht="12.75" customHeight="1" x14ac:dyDescent="0.35">
      <c r="B170" s="31"/>
      <c r="D170" s="31"/>
      <c r="E170" s="31"/>
    </row>
    <row r="171" spans="2:5" ht="12.75" customHeight="1" x14ac:dyDescent="0.35">
      <c r="B171" s="31"/>
      <c r="D171" s="31"/>
      <c r="E171" s="31"/>
    </row>
    <row r="172" spans="2:5" ht="12.75" customHeight="1" x14ac:dyDescent="0.35">
      <c r="B172" s="31"/>
      <c r="D172" s="31"/>
      <c r="E172" s="31"/>
    </row>
    <row r="173" spans="2:5" ht="12.75" customHeight="1" x14ac:dyDescent="0.35">
      <c r="B173" s="31"/>
      <c r="D173" s="31"/>
      <c r="E173" s="31"/>
    </row>
    <row r="174" spans="2:5" ht="12.75" customHeight="1" x14ac:dyDescent="0.35">
      <c r="B174" s="31"/>
      <c r="D174" s="31"/>
      <c r="E174" s="31"/>
    </row>
    <row r="175" spans="2:5" ht="12.75" customHeight="1" x14ac:dyDescent="0.35">
      <c r="B175" s="31"/>
      <c r="D175" s="31"/>
      <c r="E175" s="31"/>
    </row>
    <row r="176" spans="2:5" ht="12.75" customHeight="1" x14ac:dyDescent="0.35">
      <c r="B176" s="31"/>
      <c r="D176" s="31"/>
      <c r="E176" s="31"/>
    </row>
    <row r="177" spans="2:5" ht="12.75" customHeight="1" x14ac:dyDescent="0.35">
      <c r="B177" s="31"/>
      <c r="D177" s="31"/>
      <c r="E177" s="31"/>
    </row>
    <row r="178" spans="2:5" ht="12.75" customHeight="1" x14ac:dyDescent="0.35">
      <c r="B178" s="31"/>
      <c r="D178" s="31"/>
      <c r="E178" s="31"/>
    </row>
    <row r="179" spans="2:5" ht="12.75" customHeight="1" x14ac:dyDescent="0.35">
      <c r="B179" s="31"/>
      <c r="D179" s="31"/>
      <c r="E179" s="31"/>
    </row>
    <row r="180" spans="2:5" ht="12.75" customHeight="1" x14ac:dyDescent="0.35">
      <c r="B180" s="31"/>
      <c r="D180" s="31"/>
      <c r="E180" s="31"/>
    </row>
    <row r="181" spans="2:5" ht="12.75" customHeight="1" x14ac:dyDescent="0.35">
      <c r="B181" s="31"/>
      <c r="D181" s="31"/>
      <c r="E181" s="31"/>
    </row>
    <row r="182" spans="2:5" ht="12.75" customHeight="1" x14ac:dyDescent="0.35">
      <c r="B182" s="31"/>
      <c r="D182" s="31"/>
      <c r="E182" s="31"/>
    </row>
    <row r="183" spans="2:5" ht="12.75" customHeight="1" x14ac:dyDescent="0.35">
      <c r="B183" s="31"/>
      <c r="D183" s="31"/>
      <c r="E183" s="31"/>
    </row>
    <row r="184" spans="2:5" ht="12.75" customHeight="1" x14ac:dyDescent="0.35">
      <c r="B184" s="31"/>
      <c r="D184" s="31"/>
      <c r="E184" s="31"/>
    </row>
    <row r="185" spans="2:5" ht="12.75" customHeight="1" x14ac:dyDescent="0.35">
      <c r="B185" s="31"/>
      <c r="D185" s="31"/>
      <c r="E185" s="31"/>
    </row>
    <row r="186" spans="2:5" ht="12.75" customHeight="1" x14ac:dyDescent="0.35">
      <c r="B186" s="31"/>
      <c r="D186" s="31"/>
      <c r="E186" s="31"/>
    </row>
    <row r="187" spans="2:5" ht="12.75" customHeight="1" x14ac:dyDescent="0.35">
      <c r="B187" s="31"/>
      <c r="D187" s="31"/>
      <c r="E187" s="31"/>
    </row>
    <row r="188" spans="2:5" ht="12.75" customHeight="1" x14ac:dyDescent="0.35">
      <c r="B188" s="31"/>
      <c r="D188" s="31"/>
      <c r="E188" s="31"/>
    </row>
    <row r="189" spans="2:5" ht="12.75" customHeight="1" x14ac:dyDescent="0.35">
      <c r="B189" s="31"/>
      <c r="D189" s="31"/>
      <c r="E189" s="31"/>
    </row>
    <row r="190" spans="2:5" ht="12.75" customHeight="1" x14ac:dyDescent="0.35">
      <c r="B190" s="31"/>
      <c r="D190" s="31"/>
      <c r="E190" s="31"/>
    </row>
    <row r="191" spans="2:5" ht="12.75" customHeight="1" x14ac:dyDescent="0.35">
      <c r="B191" s="31"/>
      <c r="D191" s="31"/>
      <c r="E191" s="31"/>
    </row>
    <row r="192" spans="2:5" ht="12.75" customHeight="1" x14ac:dyDescent="0.35">
      <c r="B192" s="31"/>
      <c r="D192" s="31"/>
      <c r="E192" s="31"/>
    </row>
    <row r="193" spans="2:5" ht="12.75" customHeight="1" x14ac:dyDescent="0.35">
      <c r="B193" s="31"/>
      <c r="D193" s="31"/>
      <c r="E193" s="31"/>
    </row>
    <row r="194" spans="2:5" ht="12.75" customHeight="1" x14ac:dyDescent="0.35">
      <c r="B194" s="31"/>
      <c r="D194" s="31"/>
      <c r="E194" s="31"/>
    </row>
    <row r="195" spans="2:5" ht="12.75" customHeight="1" x14ac:dyDescent="0.35">
      <c r="B195" s="31"/>
      <c r="D195" s="31"/>
      <c r="E195" s="31"/>
    </row>
    <row r="196" spans="2:5" ht="12.75" customHeight="1" x14ac:dyDescent="0.35">
      <c r="B196" s="31"/>
      <c r="D196" s="31"/>
      <c r="E196" s="31"/>
    </row>
    <row r="197" spans="2:5" ht="12.75" customHeight="1" x14ac:dyDescent="0.35">
      <c r="B197" s="31"/>
      <c r="D197" s="31"/>
      <c r="E197" s="31"/>
    </row>
    <row r="198" spans="2:5" ht="12.75" customHeight="1" x14ac:dyDescent="0.35">
      <c r="B198" s="31"/>
      <c r="D198" s="31"/>
      <c r="E198" s="31"/>
    </row>
    <row r="199" spans="2:5" ht="12.75" customHeight="1" x14ac:dyDescent="0.35">
      <c r="B199" s="31"/>
      <c r="D199" s="31"/>
      <c r="E199" s="31"/>
    </row>
    <row r="200" spans="2:5" ht="12.75" customHeight="1" x14ac:dyDescent="0.35">
      <c r="B200" s="31"/>
      <c r="D200" s="31"/>
      <c r="E200" s="31"/>
    </row>
    <row r="201" spans="2:5" ht="12.75" customHeight="1" x14ac:dyDescent="0.35">
      <c r="B201" s="31"/>
      <c r="D201" s="31"/>
      <c r="E201" s="31"/>
    </row>
    <row r="202" spans="2:5" ht="12.75" customHeight="1" x14ac:dyDescent="0.35">
      <c r="B202" s="31"/>
      <c r="D202" s="31"/>
      <c r="E202" s="31"/>
    </row>
    <row r="203" spans="2:5" ht="12.75" customHeight="1" x14ac:dyDescent="0.35">
      <c r="B203" s="31"/>
      <c r="D203" s="31"/>
      <c r="E203" s="31"/>
    </row>
    <row r="204" spans="2:5" ht="12.75" customHeight="1" x14ac:dyDescent="0.35">
      <c r="B204" s="31"/>
      <c r="D204" s="31"/>
      <c r="E204" s="31"/>
    </row>
    <row r="205" spans="2:5" ht="12.75" customHeight="1" x14ac:dyDescent="0.35">
      <c r="B205" s="31"/>
      <c r="D205" s="31"/>
      <c r="E205" s="31"/>
    </row>
    <row r="206" spans="2:5" ht="12.75" customHeight="1" x14ac:dyDescent="0.35">
      <c r="B206" s="31"/>
      <c r="D206" s="31"/>
      <c r="E206" s="31"/>
    </row>
    <row r="207" spans="2:5" ht="12.75" customHeight="1" x14ac:dyDescent="0.35">
      <c r="B207" s="31"/>
      <c r="D207" s="31"/>
      <c r="E207" s="31"/>
    </row>
    <row r="208" spans="2:5" ht="12.75" customHeight="1" x14ac:dyDescent="0.35">
      <c r="B208" s="31"/>
      <c r="D208" s="31"/>
      <c r="E208" s="31"/>
    </row>
    <row r="209" spans="2:5" ht="12.75" customHeight="1" x14ac:dyDescent="0.35">
      <c r="B209" s="31"/>
      <c r="D209" s="31"/>
      <c r="E209" s="31"/>
    </row>
    <row r="210" spans="2:5" ht="12.75" customHeight="1" x14ac:dyDescent="0.35">
      <c r="B210" s="31"/>
      <c r="D210" s="31"/>
      <c r="E210" s="31"/>
    </row>
    <row r="211" spans="2:5" ht="12.75" customHeight="1" x14ac:dyDescent="0.35">
      <c r="B211" s="31"/>
      <c r="D211" s="31"/>
      <c r="E211" s="31"/>
    </row>
    <row r="212" spans="2:5" ht="12.75" customHeight="1" x14ac:dyDescent="0.35">
      <c r="B212" s="31"/>
      <c r="D212" s="31"/>
      <c r="E212" s="31"/>
    </row>
    <row r="213" spans="2:5" ht="12.75" customHeight="1" x14ac:dyDescent="0.35">
      <c r="B213" s="31"/>
      <c r="D213" s="31"/>
      <c r="E213" s="31"/>
    </row>
    <row r="214" spans="2:5" ht="12.75" customHeight="1" x14ac:dyDescent="0.35">
      <c r="B214" s="31"/>
      <c r="D214" s="31"/>
      <c r="E214" s="31"/>
    </row>
    <row r="215" spans="2:5" ht="12.75" customHeight="1" x14ac:dyDescent="0.35">
      <c r="B215" s="31"/>
      <c r="D215" s="31"/>
      <c r="E215" s="31"/>
    </row>
    <row r="216" spans="2:5" ht="12.75" customHeight="1" x14ac:dyDescent="0.35">
      <c r="B216" s="31"/>
      <c r="D216" s="31"/>
      <c r="E216" s="31"/>
    </row>
    <row r="217" spans="2:5" ht="12.75" customHeight="1" x14ac:dyDescent="0.35">
      <c r="B217" s="31"/>
      <c r="D217" s="31"/>
      <c r="E217" s="31"/>
    </row>
    <row r="218" spans="2:5" ht="12.75" customHeight="1" x14ac:dyDescent="0.35">
      <c r="B218" s="31"/>
      <c r="D218" s="31"/>
      <c r="E218" s="31"/>
    </row>
    <row r="219" spans="2:5" ht="12.75" customHeight="1" x14ac:dyDescent="0.35">
      <c r="B219" s="31"/>
      <c r="D219" s="31"/>
      <c r="E219" s="31"/>
    </row>
    <row r="220" spans="2:5" ht="12.75" customHeight="1" x14ac:dyDescent="0.35">
      <c r="B220" s="31"/>
      <c r="D220" s="31"/>
      <c r="E220" s="31"/>
    </row>
    <row r="221" spans="2:5" ht="12.75" customHeight="1" x14ac:dyDescent="0.35">
      <c r="B221" s="31"/>
      <c r="D221" s="31"/>
      <c r="E221" s="31"/>
    </row>
    <row r="222" spans="2:5" ht="12.75" customHeight="1" x14ac:dyDescent="0.35">
      <c r="B222" s="31"/>
      <c r="D222" s="31"/>
      <c r="E222" s="31"/>
    </row>
    <row r="223" spans="2:5" ht="12.75" customHeight="1" x14ac:dyDescent="0.35">
      <c r="B223" s="31"/>
      <c r="D223" s="31"/>
      <c r="E223" s="31"/>
    </row>
    <row r="224" spans="2:5" ht="12.75" customHeight="1" x14ac:dyDescent="0.35">
      <c r="B224" s="31"/>
      <c r="D224" s="31"/>
      <c r="E224" s="31"/>
    </row>
    <row r="225" spans="2:5" ht="12.75" customHeight="1" x14ac:dyDescent="0.35">
      <c r="B225" s="31"/>
      <c r="D225" s="31"/>
      <c r="E225" s="31"/>
    </row>
    <row r="226" spans="2:5" ht="12.75" customHeight="1" x14ac:dyDescent="0.35">
      <c r="B226" s="31"/>
      <c r="D226" s="31"/>
      <c r="E226" s="31"/>
    </row>
    <row r="227" spans="2:5" ht="12.75" customHeight="1" x14ac:dyDescent="0.35">
      <c r="B227" s="31"/>
      <c r="D227" s="31"/>
      <c r="E227" s="31"/>
    </row>
    <row r="228" spans="2:5" ht="12.75" customHeight="1" x14ac:dyDescent="0.35">
      <c r="B228" s="31"/>
      <c r="D228" s="31"/>
      <c r="E228" s="31"/>
    </row>
    <row r="229" spans="2:5" ht="12.75" customHeight="1" x14ac:dyDescent="0.35">
      <c r="B229" s="31"/>
      <c r="D229" s="31"/>
      <c r="E229" s="31"/>
    </row>
    <row r="230" spans="2:5" ht="12.75" customHeight="1" x14ac:dyDescent="0.35">
      <c r="B230" s="31"/>
      <c r="D230" s="31"/>
      <c r="E230" s="31"/>
    </row>
    <row r="231" spans="2:5" ht="12.75" customHeight="1" x14ac:dyDescent="0.35">
      <c r="B231" s="31"/>
      <c r="D231" s="31"/>
      <c r="E231" s="31"/>
    </row>
    <row r="232" spans="2:5" ht="12.75" customHeight="1" x14ac:dyDescent="0.35">
      <c r="B232" s="31"/>
      <c r="D232" s="31"/>
      <c r="E232" s="31"/>
    </row>
    <row r="233" spans="2:5" ht="12.75" customHeight="1" x14ac:dyDescent="0.35">
      <c r="B233" s="31"/>
      <c r="D233" s="31"/>
      <c r="E233" s="31"/>
    </row>
    <row r="234" spans="2:5" ht="12.75" customHeight="1" x14ac:dyDescent="0.35">
      <c r="B234" s="31"/>
      <c r="D234" s="31"/>
      <c r="E234" s="31"/>
    </row>
    <row r="235" spans="2:5" ht="12.75" customHeight="1" x14ac:dyDescent="0.35">
      <c r="B235" s="31"/>
      <c r="D235" s="31"/>
      <c r="E235" s="31"/>
    </row>
    <row r="236" spans="2:5" ht="12.75" customHeight="1" x14ac:dyDescent="0.35">
      <c r="B236" s="31"/>
      <c r="D236" s="31"/>
      <c r="E236" s="31"/>
    </row>
    <row r="237" spans="2:5" ht="12.75" customHeight="1" x14ac:dyDescent="0.35">
      <c r="B237" s="31"/>
      <c r="D237" s="31"/>
      <c r="E237" s="31"/>
    </row>
    <row r="238" spans="2:5" ht="12.75" customHeight="1" x14ac:dyDescent="0.35">
      <c r="B238" s="31"/>
      <c r="D238" s="31"/>
      <c r="E238" s="31"/>
    </row>
    <row r="239" spans="2:5" ht="12.75" customHeight="1" x14ac:dyDescent="0.35">
      <c r="B239" s="31"/>
      <c r="D239" s="31"/>
      <c r="E239" s="31"/>
    </row>
    <row r="240" spans="2:5" ht="12.75" customHeight="1" x14ac:dyDescent="0.35">
      <c r="B240" s="31"/>
      <c r="D240" s="31"/>
      <c r="E240" s="31"/>
    </row>
    <row r="241" spans="2:5" ht="12.75" customHeight="1" x14ac:dyDescent="0.35">
      <c r="B241" s="31"/>
      <c r="D241" s="31"/>
      <c r="E241" s="31"/>
    </row>
    <row r="242" spans="2:5" ht="12.75" customHeight="1" x14ac:dyDescent="0.35">
      <c r="B242" s="31"/>
      <c r="D242" s="31"/>
      <c r="E242" s="31"/>
    </row>
    <row r="243" spans="2:5" ht="12.75" customHeight="1" x14ac:dyDescent="0.35">
      <c r="B243" s="31"/>
      <c r="D243" s="31"/>
      <c r="E243" s="31"/>
    </row>
    <row r="244" spans="2:5" ht="12.75" customHeight="1" x14ac:dyDescent="0.35">
      <c r="B244" s="31"/>
      <c r="D244" s="31"/>
      <c r="E244" s="31"/>
    </row>
    <row r="245" spans="2:5" ht="12.75" customHeight="1" x14ac:dyDescent="0.35">
      <c r="B245" s="31"/>
      <c r="D245" s="31"/>
      <c r="E245" s="31"/>
    </row>
    <row r="246" spans="2:5" ht="12.75" customHeight="1" x14ac:dyDescent="0.35">
      <c r="B246" s="31"/>
      <c r="D246" s="31"/>
      <c r="E246" s="31"/>
    </row>
    <row r="247" spans="2:5" ht="12.75" customHeight="1" x14ac:dyDescent="0.35">
      <c r="B247" s="31"/>
      <c r="D247" s="31"/>
      <c r="E247" s="31"/>
    </row>
    <row r="248" spans="2:5" ht="12.75" customHeight="1" x14ac:dyDescent="0.35">
      <c r="B248" s="31"/>
      <c r="D248" s="31"/>
      <c r="E248" s="31"/>
    </row>
    <row r="249" spans="2:5" ht="12.75" customHeight="1" x14ac:dyDescent="0.35">
      <c r="B249" s="31"/>
      <c r="D249" s="31"/>
      <c r="E249" s="31"/>
    </row>
    <row r="250" spans="2:5" ht="12.75" customHeight="1" x14ac:dyDescent="0.35">
      <c r="B250" s="31"/>
      <c r="D250" s="31"/>
      <c r="E250" s="31"/>
    </row>
    <row r="251" spans="2:5" ht="12.75" customHeight="1" x14ac:dyDescent="0.35">
      <c r="B251" s="31"/>
      <c r="D251" s="31"/>
      <c r="E251" s="31"/>
    </row>
    <row r="252" spans="2:5" ht="12.75" customHeight="1" x14ac:dyDescent="0.35">
      <c r="B252" s="31"/>
      <c r="D252" s="31"/>
      <c r="E252" s="31"/>
    </row>
    <row r="253" spans="2:5" ht="12.75" customHeight="1" x14ac:dyDescent="0.35">
      <c r="B253" s="31"/>
      <c r="D253" s="31"/>
      <c r="E253" s="31"/>
    </row>
    <row r="254" spans="2:5" ht="12.75" customHeight="1" x14ac:dyDescent="0.35">
      <c r="B254" s="31"/>
      <c r="D254" s="31"/>
      <c r="E254" s="31"/>
    </row>
    <row r="255" spans="2:5" ht="12.75" customHeight="1" x14ac:dyDescent="0.35">
      <c r="B255" s="31"/>
      <c r="D255" s="31"/>
      <c r="E255" s="31"/>
    </row>
    <row r="256" spans="2:5" ht="12.75" customHeight="1" x14ac:dyDescent="0.35">
      <c r="B256" s="31"/>
      <c r="D256" s="31"/>
      <c r="E256" s="31"/>
    </row>
    <row r="257" spans="2:5" ht="12.75" customHeight="1" x14ac:dyDescent="0.35">
      <c r="B257" s="31"/>
      <c r="D257" s="31"/>
      <c r="E257" s="31"/>
    </row>
    <row r="258" spans="2:5" ht="12.75" customHeight="1" x14ac:dyDescent="0.35">
      <c r="B258" s="31"/>
      <c r="D258" s="31"/>
      <c r="E258" s="31"/>
    </row>
    <row r="259" spans="2:5" ht="12.75" customHeight="1" x14ac:dyDescent="0.35">
      <c r="B259" s="31"/>
      <c r="D259" s="31"/>
      <c r="E259" s="31"/>
    </row>
    <row r="260" spans="2:5" ht="12.75" customHeight="1" x14ac:dyDescent="0.35">
      <c r="B260" s="31"/>
      <c r="D260" s="31"/>
      <c r="E260" s="31"/>
    </row>
    <row r="261" spans="2:5" ht="12.75" customHeight="1" x14ac:dyDescent="0.35">
      <c r="B261" s="31"/>
      <c r="D261" s="31"/>
      <c r="E261" s="31"/>
    </row>
    <row r="262" spans="2:5" ht="12.75" customHeight="1" x14ac:dyDescent="0.35">
      <c r="B262" s="31"/>
      <c r="D262" s="31"/>
      <c r="E262" s="31"/>
    </row>
    <row r="263" spans="2:5" ht="12.75" customHeight="1" x14ac:dyDescent="0.35">
      <c r="B263" s="31"/>
      <c r="D263" s="31"/>
      <c r="E263" s="31"/>
    </row>
    <row r="264" spans="2:5" ht="12.75" customHeight="1" x14ac:dyDescent="0.35">
      <c r="B264" s="31"/>
      <c r="D264" s="31"/>
      <c r="E264" s="31"/>
    </row>
    <row r="265" spans="2:5" ht="12.75" customHeight="1" x14ac:dyDescent="0.35">
      <c r="B265" s="31"/>
      <c r="D265" s="31"/>
      <c r="E265" s="31"/>
    </row>
    <row r="266" spans="2:5" ht="12.75" customHeight="1" x14ac:dyDescent="0.35">
      <c r="B266" s="31"/>
      <c r="D266" s="31"/>
      <c r="E266" s="31"/>
    </row>
    <row r="267" spans="2:5" ht="12.75" customHeight="1" x14ac:dyDescent="0.35">
      <c r="B267" s="31"/>
      <c r="D267" s="31"/>
      <c r="E267" s="31"/>
    </row>
    <row r="268" spans="2:5" ht="12.75" customHeight="1" x14ac:dyDescent="0.35">
      <c r="B268" s="31"/>
      <c r="D268" s="31"/>
      <c r="E268" s="31"/>
    </row>
    <row r="269" spans="2:5" ht="12.75" customHeight="1" x14ac:dyDescent="0.35">
      <c r="B269" s="31"/>
      <c r="D269" s="31"/>
      <c r="E269" s="31"/>
    </row>
    <row r="270" spans="2:5" ht="12.75" customHeight="1" x14ac:dyDescent="0.35">
      <c r="B270" s="31"/>
      <c r="D270" s="31"/>
      <c r="E270" s="31"/>
    </row>
    <row r="271" spans="2:5" ht="12.75" customHeight="1" x14ac:dyDescent="0.35">
      <c r="B271" s="31"/>
      <c r="D271" s="31"/>
      <c r="E271" s="31"/>
    </row>
    <row r="272" spans="2:5" ht="12.75" customHeight="1" x14ac:dyDescent="0.35">
      <c r="B272" s="31"/>
      <c r="D272" s="31"/>
      <c r="E272" s="31"/>
    </row>
    <row r="273" spans="2:5" ht="12.75" customHeight="1" x14ac:dyDescent="0.35">
      <c r="B273" s="31"/>
      <c r="D273" s="31"/>
      <c r="E273" s="31"/>
    </row>
    <row r="274" spans="2:5" ht="12.75" customHeight="1" x14ac:dyDescent="0.35">
      <c r="B274" s="31"/>
      <c r="D274" s="31"/>
      <c r="E274" s="31"/>
    </row>
    <row r="275" spans="2:5" ht="12.75" customHeight="1" x14ac:dyDescent="0.35">
      <c r="B275" s="31"/>
      <c r="D275" s="31"/>
      <c r="E275" s="31"/>
    </row>
    <row r="276" spans="2:5" ht="12.75" customHeight="1" x14ac:dyDescent="0.35">
      <c r="B276" s="31"/>
      <c r="D276" s="31"/>
      <c r="E276" s="31"/>
    </row>
    <row r="277" spans="2:5" ht="12.75" customHeight="1" x14ac:dyDescent="0.35">
      <c r="B277" s="31"/>
      <c r="D277" s="31"/>
      <c r="E277" s="31"/>
    </row>
    <row r="278" spans="2:5" ht="12.75" customHeight="1" x14ac:dyDescent="0.35">
      <c r="B278" s="31"/>
      <c r="D278" s="31"/>
      <c r="E278" s="31"/>
    </row>
    <row r="279" spans="2:5" ht="12.75" customHeight="1" x14ac:dyDescent="0.35">
      <c r="B279" s="31"/>
      <c r="D279" s="31"/>
      <c r="E279" s="31"/>
    </row>
    <row r="280" spans="2:5" ht="12.75" customHeight="1" x14ac:dyDescent="0.35">
      <c r="B280" s="31"/>
      <c r="D280" s="31"/>
      <c r="E280" s="31"/>
    </row>
    <row r="281" spans="2:5" ht="12.75" customHeight="1" x14ac:dyDescent="0.35">
      <c r="B281" s="31"/>
      <c r="D281" s="31"/>
      <c r="E281" s="31"/>
    </row>
    <row r="282" spans="2:5" ht="12.75" customHeight="1" x14ac:dyDescent="0.35">
      <c r="B282" s="31"/>
      <c r="D282" s="31"/>
      <c r="E282" s="31"/>
    </row>
    <row r="283" spans="2:5" ht="12.75" customHeight="1" x14ac:dyDescent="0.35">
      <c r="B283" s="31"/>
      <c r="D283" s="31"/>
      <c r="E283" s="31"/>
    </row>
    <row r="284" spans="2:5" ht="12.75" customHeight="1" x14ac:dyDescent="0.35">
      <c r="B284" s="31"/>
      <c r="D284" s="31"/>
      <c r="E284" s="31"/>
    </row>
    <row r="285" spans="2:5" ht="12.75" customHeight="1" x14ac:dyDescent="0.35">
      <c r="B285" s="31"/>
      <c r="D285" s="31"/>
      <c r="E285" s="31"/>
    </row>
    <row r="286" spans="2:5" ht="12.75" customHeight="1" x14ac:dyDescent="0.35">
      <c r="B286" s="31"/>
      <c r="D286" s="31"/>
      <c r="E286" s="31"/>
    </row>
    <row r="287" spans="2:5" ht="12.75" customHeight="1" x14ac:dyDescent="0.35">
      <c r="B287" s="31"/>
      <c r="D287" s="31"/>
      <c r="E287" s="31"/>
    </row>
    <row r="288" spans="2:5" ht="12.75" customHeight="1" x14ac:dyDescent="0.35">
      <c r="B288" s="31"/>
      <c r="D288" s="31"/>
      <c r="E288" s="31"/>
    </row>
    <row r="289" spans="2:5" ht="12.75" customHeight="1" x14ac:dyDescent="0.35">
      <c r="B289" s="31"/>
      <c r="D289" s="31"/>
      <c r="E289" s="31"/>
    </row>
    <row r="290" spans="2:5" ht="12.75" customHeight="1" x14ac:dyDescent="0.35">
      <c r="B290" s="31"/>
      <c r="D290" s="31"/>
      <c r="E290" s="31"/>
    </row>
    <row r="291" spans="2:5" ht="12.75" customHeight="1" x14ac:dyDescent="0.35">
      <c r="B291" s="31"/>
      <c r="D291" s="31"/>
      <c r="E291" s="31"/>
    </row>
    <row r="292" spans="2:5" ht="12.75" customHeight="1" x14ac:dyDescent="0.35">
      <c r="B292" s="31"/>
      <c r="D292" s="31"/>
      <c r="E292" s="31"/>
    </row>
    <row r="293" spans="2:5" ht="12.75" customHeight="1" x14ac:dyDescent="0.35">
      <c r="B293" s="31"/>
      <c r="D293" s="31"/>
      <c r="E293" s="31"/>
    </row>
    <row r="294" spans="2:5" ht="12.75" customHeight="1" x14ac:dyDescent="0.35">
      <c r="B294" s="31"/>
      <c r="D294" s="31"/>
      <c r="E294" s="31"/>
    </row>
    <row r="295" spans="2:5" ht="12.75" customHeight="1" x14ac:dyDescent="0.35">
      <c r="B295" s="31"/>
      <c r="D295" s="31"/>
      <c r="E295" s="31"/>
    </row>
    <row r="296" spans="2:5" ht="12.75" customHeight="1" x14ac:dyDescent="0.35">
      <c r="B296" s="31"/>
      <c r="D296" s="31"/>
      <c r="E296" s="31"/>
    </row>
    <row r="297" spans="2:5" ht="12.75" customHeight="1" x14ac:dyDescent="0.35">
      <c r="B297" s="31"/>
      <c r="D297" s="31"/>
      <c r="E297" s="31"/>
    </row>
    <row r="298" spans="2:5" ht="12.75" customHeight="1" x14ac:dyDescent="0.35">
      <c r="B298" s="31"/>
      <c r="D298" s="31"/>
      <c r="E298" s="31"/>
    </row>
    <row r="299" spans="2:5" ht="12.75" customHeight="1" x14ac:dyDescent="0.35">
      <c r="B299" s="31"/>
      <c r="D299" s="31"/>
      <c r="E299" s="31"/>
    </row>
    <row r="300" spans="2:5" ht="12.75" customHeight="1" x14ac:dyDescent="0.35">
      <c r="B300" s="31"/>
      <c r="D300" s="31"/>
      <c r="E300" s="31"/>
    </row>
    <row r="301" spans="2:5" ht="12.75" customHeight="1" x14ac:dyDescent="0.35">
      <c r="B301" s="31"/>
      <c r="D301" s="31"/>
      <c r="E301" s="31"/>
    </row>
    <row r="302" spans="2:5" ht="12.75" customHeight="1" x14ac:dyDescent="0.35">
      <c r="B302" s="31"/>
      <c r="D302" s="31"/>
      <c r="E302" s="31"/>
    </row>
  </sheetData>
  <sheetProtection algorithmName="SHA-512" hashValue="3Qy3PH10SuGcvsWtX52RTfQPc32ZL9sfSvfhh4pVZtuG6RHglS9l7Qda5zuQ2l/OQDESPV6kxLB+GPmI0BYjZA==" saltValue="UlGkad1CEd+RmeQ3eMaoMQ==" spinCount="100000" sheet="1" objects="1" scenario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5B09-A93B-4761-B2FB-F0F6FACE81E5}">
  <sheetPr codeName="Sheet9"/>
  <dimension ref="B1:W300"/>
  <sheetViews>
    <sheetView workbookViewId="0">
      <selection activeCell="K1" sqref="K1"/>
    </sheetView>
  </sheetViews>
  <sheetFormatPr defaultRowHeight="12.75" x14ac:dyDescent="0.35"/>
  <cols>
    <col min="2" max="2" width="43.86328125" bestFit="1" customWidth="1"/>
    <col min="3" max="3" width="12.265625" style="31" hidden="1" customWidth="1"/>
    <col min="4" max="4" width="13.06640625" hidden="1" customWidth="1"/>
    <col min="5" max="5" width="13.06640625" style="34" hidden="1" customWidth="1"/>
    <col min="6" max="6" width="13.06640625" style="69" hidden="1" customWidth="1"/>
    <col min="7" max="8" width="12" hidden="1" customWidth="1"/>
    <col min="9" max="11" width="9.796875" bestFit="1" customWidth="1"/>
    <col min="12" max="12" width="11.06640625" bestFit="1" customWidth="1"/>
    <col min="14" max="16" width="9.796875" bestFit="1" customWidth="1"/>
    <col min="17" max="17" width="11.06640625" bestFit="1" customWidth="1"/>
    <col min="19" max="21" width="9.796875" bestFit="1" customWidth="1"/>
    <col min="22" max="22" width="11.06640625" bestFit="1" customWidth="1"/>
    <col min="23" max="23" width="63.796875" customWidth="1"/>
  </cols>
  <sheetData>
    <row r="1" spans="2:23" ht="12.75" customHeight="1" x14ac:dyDescent="0.35">
      <c r="B1" s="145" t="s">
        <v>305</v>
      </c>
      <c r="C1" s="76"/>
      <c r="D1" s="52"/>
      <c r="E1" s="52"/>
      <c r="F1" s="68"/>
    </row>
    <row r="2" spans="2:23" ht="12.75" customHeight="1" x14ac:dyDescent="0.35">
      <c r="B2" s="52"/>
      <c r="C2" s="76"/>
      <c r="D2" s="52"/>
      <c r="E2" s="52"/>
      <c r="F2" s="68"/>
    </row>
    <row r="3" spans="2:23" ht="12.75" customHeight="1" x14ac:dyDescent="0.35">
      <c r="B3" s="52"/>
      <c r="C3" s="76"/>
      <c r="D3" s="52"/>
      <c r="E3" s="52"/>
      <c r="F3" s="68"/>
    </row>
    <row r="4" spans="2:23" ht="12.75" customHeight="1" x14ac:dyDescent="0.35">
      <c r="B4" s="52"/>
      <c r="C4" s="76"/>
      <c r="D4" s="52"/>
      <c r="E4" s="52"/>
      <c r="F4" s="68"/>
    </row>
    <row r="5" spans="2:23" ht="12.75" customHeight="1" x14ac:dyDescent="0.35">
      <c r="B5" s="52"/>
      <c r="C5" s="76"/>
      <c r="D5" s="52"/>
      <c r="E5" s="52"/>
      <c r="F5" s="68"/>
    </row>
    <row r="6" spans="2:23" ht="15.4" customHeight="1" thickBot="1" x14ac:dyDescent="0.4">
      <c r="B6" s="125"/>
      <c r="C6" s="76"/>
      <c r="D6" s="52"/>
      <c r="E6" s="52"/>
      <c r="F6" s="68"/>
    </row>
    <row r="7" spans="2:23" ht="12.75" customHeight="1" thickTop="1" x14ac:dyDescent="0.35">
      <c r="I7" s="202" t="s">
        <v>294</v>
      </c>
      <c r="J7" s="207"/>
      <c r="K7" s="188"/>
      <c r="L7" s="189"/>
      <c r="N7" s="202" t="s">
        <v>224</v>
      </c>
      <c r="O7" s="236" t="str">
        <f>B1</f>
        <v>Option D</v>
      </c>
      <c r="P7" s="188"/>
      <c r="Q7" s="189"/>
      <c r="S7" s="202" t="s">
        <v>295</v>
      </c>
      <c r="T7" s="207"/>
      <c r="U7" s="188"/>
      <c r="V7" s="189"/>
    </row>
    <row r="8" spans="2:23" ht="12.75" customHeight="1" x14ac:dyDescent="0.35">
      <c r="C8" s="77"/>
      <c r="F8" s="144" t="s">
        <v>140</v>
      </c>
      <c r="G8" s="144" t="s">
        <v>140</v>
      </c>
      <c r="I8" s="208"/>
      <c r="J8" s="209"/>
      <c r="K8" s="190" t="s">
        <v>140</v>
      </c>
      <c r="L8" s="191" t="s">
        <v>140</v>
      </c>
      <c r="N8" s="208"/>
      <c r="O8" s="209"/>
      <c r="P8" s="190" t="s">
        <v>140</v>
      </c>
      <c r="Q8" s="191" t="s">
        <v>140</v>
      </c>
      <c r="S8" s="208"/>
      <c r="T8" s="209"/>
      <c r="U8" s="190" t="s">
        <v>140</v>
      </c>
      <c r="V8" s="191" t="s">
        <v>140</v>
      </c>
    </row>
    <row r="9" spans="2:23" ht="12.75" customHeight="1" thickBot="1" x14ac:dyDescent="0.4">
      <c r="B9" s="4"/>
      <c r="C9" s="78"/>
      <c r="D9" s="47">
        <v>43983</v>
      </c>
      <c r="E9" s="46">
        <v>44348</v>
      </c>
      <c r="F9" s="70">
        <v>44713</v>
      </c>
      <c r="G9" s="130" t="s">
        <v>238</v>
      </c>
      <c r="I9" s="192">
        <v>43983</v>
      </c>
      <c r="J9" s="193">
        <v>44348</v>
      </c>
      <c r="K9" s="194">
        <v>44713</v>
      </c>
      <c r="L9" s="195" t="s">
        <v>238</v>
      </c>
      <c r="N9" s="192">
        <v>43983</v>
      </c>
      <c r="O9" s="193">
        <v>44348</v>
      </c>
      <c r="P9" s="194">
        <v>44713</v>
      </c>
      <c r="Q9" s="195" t="s">
        <v>238</v>
      </c>
      <c r="S9" s="192">
        <v>43983</v>
      </c>
      <c r="T9" s="193">
        <v>44348</v>
      </c>
      <c r="U9" s="194">
        <v>44713</v>
      </c>
      <c r="V9" s="195" t="s">
        <v>238</v>
      </c>
    </row>
    <row r="10" spans="2:23" ht="12.75" customHeight="1" thickTop="1" thickBot="1" x14ac:dyDescent="0.4">
      <c r="C10" s="79"/>
      <c r="D10" s="9" t="s">
        <v>223</v>
      </c>
      <c r="E10" s="44" t="s">
        <v>131</v>
      </c>
      <c r="F10" s="9" t="s">
        <v>131</v>
      </c>
      <c r="G10" s="9" t="s">
        <v>131</v>
      </c>
      <c r="I10" s="203" t="s">
        <v>223</v>
      </c>
      <c r="J10" s="204" t="s">
        <v>131</v>
      </c>
      <c r="K10" s="205" t="s">
        <v>131</v>
      </c>
      <c r="L10" s="206" t="s">
        <v>131</v>
      </c>
      <c r="N10" s="203" t="s">
        <v>223</v>
      </c>
      <c r="O10" s="204" t="s">
        <v>131</v>
      </c>
      <c r="P10" s="205" t="s">
        <v>131</v>
      </c>
      <c r="Q10" s="206" t="s">
        <v>131</v>
      </c>
      <c r="S10" s="203" t="s">
        <v>223</v>
      </c>
      <c r="T10" s="204" t="s">
        <v>131</v>
      </c>
      <c r="U10" s="205" t="s">
        <v>131</v>
      </c>
      <c r="V10" s="225" t="s">
        <v>131</v>
      </c>
      <c r="W10" s="233" t="s">
        <v>297</v>
      </c>
    </row>
    <row r="11" spans="2:23" ht="12.75" customHeight="1" thickTop="1" x14ac:dyDescent="0.35">
      <c r="B11" s="3" t="s">
        <v>3</v>
      </c>
      <c r="G11" s="129"/>
      <c r="I11" s="210"/>
      <c r="J11" s="211"/>
      <c r="K11" s="211"/>
      <c r="L11" s="212"/>
      <c r="N11" s="210"/>
      <c r="O11" s="211"/>
      <c r="P11" s="211"/>
      <c r="Q11" s="212"/>
      <c r="S11" s="210"/>
      <c r="T11" s="211"/>
      <c r="U11" s="211"/>
      <c r="V11" s="226"/>
      <c r="W11" s="234"/>
    </row>
    <row r="12" spans="2:23" ht="12.75" customHeight="1" x14ac:dyDescent="0.35">
      <c r="B12" s="3" t="s">
        <v>4</v>
      </c>
      <c r="C12" s="81"/>
      <c r="D12" s="103">
        <v>45700</v>
      </c>
      <c r="E12" s="103">
        <v>36700</v>
      </c>
      <c r="F12" s="103">
        <v>36700</v>
      </c>
      <c r="G12" s="103">
        <f>'BASE - Pre CV-19'!O19</f>
        <v>23700</v>
      </c>
      <c r="I12" s="196">
        <f>D12</f>
        <v>45700</v>
      </c>
      <c r="J12" s="197">
        <f t="shared" ref="J12:L12" si="0">E12</f>
        <v>36700</v>
      </c>
      <c r="K12" s="197">
        <f t="shared" si="0"/>
        <v>36700</v>
      </c>
      <c r="L12" s="198">
        <f t="shared" si="0"/>
        <v>23700</v>
      </c>
      <c r="M12" s="138"/>
      <c r="N12" s="196">
        <f>D13</f>
        <v>33984</v>
      </c>
      <c r="O12" s="197">
        <f t="shared" ref="O12:Q12" si="1">E13</f>
        <v>27500</v>
      </c>
      <c r="P12" s="197">
        <f t="shared" si="1"/>
        <v>27500</v>
      </c>
      <c r="Q12" s="198">
        <f t="shared" si="1"/>
        <v>23700</v>
      </c>
      <c r="R12" s="138"/>
      <c r="S12" s="196">
        <f>N12-I12</f>
        <v>-11716</v>
      </c>
      <c r="T12" s="197">
        <f t="shared" ref="T12:V12" si="2">O12-J12</f>
        <v>-9200</v>
      </c>
      <c r="U12" s="197">
        <f t="shared" si="2"/>
        <v>-9200</v>
      </c>
      <c r="V12" s="227">
        <f t="shared" si="2"/>
        <v>0</v>
      </c>
      <c r="W12" s="234" t="s">
        <v>298</v>
      </c>
    </row>
    <row r="13" spans="2:23" ht="12.75" customHeight="1" x14ac:dyDescent="0.35">
      <c r="C13" s="100" t="s">
        <v>224</v>
      </c>
      <c r="D13" s="104">
        <v>33984</v>
      </c>
      <c r="E13" s="105">
        <v>27500</v>
      </c>
      <c r="F13" s="104">
        <v>27500</v>
      </c>
      <c r="G13" s="104">
        <f>G12</f>
        <v>23700</v>
      </c>
      <c r="I13" s="213"/>
      <c r="J13" s="214"/>
      <c r="K13" s="214"/>
      <c r="L13" s="215"/>
      <c r="N13" s="213"/>
      <c r="O13" s="214"/>
      <c r="P13" s="214"/>
      <c r="Q13" s="215"/>
      <c r="S13" s="213"/>
      <c r="T13" s="214"/>
      <c r="U13" s="214"/>
      <c r="V13" s="228"/>
      <c r="W13" s="234"/>
    </row>
    <row r="14" spans="2:23" ht="12.75" customHeight="1" x14ac:dyDescent="0.35">
      <c r="B14" s="3" t="s">
        <v>10</v>
      </c>
      <c r="D14" s="106"/>
      <c r="E14" s="107"/>
      <c r="F14" s="108"/>
      <c r="I14" s="210"/>
      <c r="J14" s="211"/>
      <c r="K14" s="211"/>
      <c r="L14" s="211"/>
      <c r="N14" s="210"/>
      <c r="O14" s="211"/>
      <c r="P14" s="211"/>
      <c r="Q14" s="211"/>
      <c r="S14" s="210"/>
      <c r="T14" s="211"/>
      <c r="U14" s="211"/>
      <c r="V14" s="226"/>
      <c r="W14" s="234"/>
    </row>
    <row r="15" spans="2:23" ht="12.75" customHeight="1" x14ac:dyDescent="0.35">
      <c r="B15" s="3" t="s">
        <v>11</v>
      </c>
      <c r="D15" s="103">
        <v>181992.66750000001</v>
      </c>
      <c r="E15" s="103">
        <v>191092.30087500002</v>
      </c>
      <c r="F15" s="103">
        <v>200646.91591875005</v>
      </c>
      <c r="G15" s="103">
        <f>'BASE - Pre CV-19'!O31</f>
        <v>210679.26171468751</v>
      </c>
      <c r="I15" s="196">
        <f>D15</f>
        <v>181992.66750000001</v>
      </c>
      <c r="J15" s="197">
        <f t="shared" ref="J15:L15" si="3">E15</f>
        <v>191092.30087500002</v>
      </c>
      <c r="K15" s="197">
        <f t="shared" si="3"/>
        <v>200646.91591875005</v>
      </c>
      <c r="L15" s="198">
        <f t="shared" si="3"/>
        <v>210679.26171468751</v>
      </c>
      <c r="M15" s="138"/>
      <c r="N15" s="196">
        <f>D16</f>
        <v>192659</v>
      </c>
      <c r="O15" s="197">
        <f t="shared" ref="O15:Q15" si="4">E16</f>
        <v>192109</v>
      </c>
      <c r="P15" s="197">
        <f t="shared" si="4"/>
        <v>201704</v>
      </c>
      <c r="Q15" s="198">
        <f t="shared" si="4"/>
        <v>210679.26171468751</v>
      </c>
      <c r="R15" s="138"/>
      <c r="S15" s="196">
        <f>N15-I15</f>
        <v>10666.33249999999</v>
      </c>
      <c r="T15" s="197">
        <f t="shared" ref="T15:V15" si="5">O15-J15</f>
        <v>1016.6991249999846</v>
      </c>
      <c r="U15" s="197">
        <f t="shared" si="5"/>
        <v>1057.0840812499519</v>
      </c>
      <c r="V15" s="227">
        <f t="shared" si="5"/>
        <v>0</v>
      </c>
      <c r="W15" s="234"/>
    </row>
    <row r="16" spans="2:23" ht="12.75" customHeight="1" x14ac:dyDescent="0.35">
      <c r="C16" s="100" t="s">
        <v>224</v>
      </c>
      <c r="D16" s="105">
        <v>192659</v>
      </c>
      <c r="E16" s="105">
        <v>192109</v>
      </c>
      <c r="F16" s="105">
        <v>201704</v>
      </c>
      <c r="G16" s="105">
        <f>G15</f>
        <v>210679.26171468751</v>
      </c>
      <c r="I16" s="216"/>
      <c r="J16" s="217"/>
      <c r="K16" s="217"/>
      <c r="L16" s="218"/>
      <c r="M16" s="138"/>
      <c r="N16" s="216"/>
      <c r="O16" s="217"/>
      <c r="P16" s="217"/>
      <c r="Q16" s="218"/>
      <c r="R16" s="138"/>
      <c r="S16" s="216"/>
      <c r="T16" s="217"/>
      <c r="U16" s="217"/>
      <c r="V16" s="229"/>
      <c r="W16" s="234"/>
    </row>
    <row r="17" spans="2:23" ht="12.75" customHeight="1" x14ac:dyDescent="0.35">
      <c r="B17" s="3" t="s">
        <v>19</v>
      </c>
      <c r="C17" s="81"/>
      <c r="D17" s="103">
        <v>274023.0999545455</v>
      </c>
      <c r="E17" s="103">
        <v>287724.25495227281</v>
      </c>
      <c r="F17" s="103">
        <v>302110.46769988647</v>
      </c>
      <c r="G17" s="103">
        <f>'BASE - Pre CV-19'!O39</f>
        <v>290842.64897795231</v>
      </c>
      <c r="H17" s="133"/>
      <c r="I17" s="196">
        <f>D17</f>
        <v>274023.0999545455</v>
      </c>
      <c r="J17" s="197">
        <f t="shared" ref="J17:L17" si="6">E17</f>
        <v>287724.25495227281</v>
      </c>
      <c r="K17" s="197">
        <f t="shared" si="6"/>
        <v>302110.46769988647</v>
      </c>
      <c r="L17" s="198">
        <f t="shared" si="6"/>
        <v>290842.64897795231</v>
      </c>
      <c r="M17" s="138"/>
      <c r="N17" s="196">
        <f>D18</f>
        <v>258682</v>
      </c>
      <c r="O17" s="197">
        <f t="shared" ref="O17:Q17" si="7">E18</f>
        <v>284170</v>
      </c>
      <c r="P17" s="197">
        <f t="shared" si="7"/>
        <v>292923.60000000003</v>
      </c>
      <c r="Q17" s="198">
        <f t="shared" si="7"/>
        <v>290842.64897795231</v>
      </c>
      <c r="R17" s="138"/>
      <c r="S17" s="196">
        <f>N17-I17</f>
        <v>-15341.099954545498</v>
      </c>
      <c r="T17" s="197">
        <f t="shared" ref="T17:V17" si="8">O17-J17</f>
        <v>-3554.2549522728077</v>
      </c>
      <c r="U17" s="197">
        <f t="shared" si="8"/>
        <v>-9186.8676998864394</v>
      </c>
      <c r="V17" s="227">
        <f t="shared" si="8"/>
        <v>0</v>
      </c>
      <c r="W17" s="234"/>
    </row>
    <row r="18" spans="2:23" ht="12.75" customHeight="1" x14ac:dyDescent="0.35">
      <c r="C18" s="100" t="s">
        <v>224</v>
      </c>
      <c r="D18" s="104">
        <v>258682</v>
      </c>
      <c r="E18" s="105">
        <v>284170</v>
      </c>
      <c r="F18" s="104">
        <f>(346*1.02)*830</f>
        <v>292923.60000000003</v>
      </c>
      <c r="G18" s="105">
        <f>G17</f>
        <v>290842.64897795231</v>
      </c>
      <c r="I18" s="213"/>
      <c r="J18" s="214"/>
      <c r="K18" s="214"/>
      <c r="L18" s="215"/>
      <c r="N18" s="213"/>
      <c r="O18" s="214"/>
      <c r="P18" s="214"/>
      <c r="Q18" s="215"/>
      <c r="S18" s="213"/>
      <c r="T18" s="214"/>
      <c r="U18" s="214"/>
      <c r="V18" s="228"/>
      <c r="W18" s="234"/>
    </row>
    <row r="19" spans="2:23" ht="12.75" customHeight="1" thickBot="1" x14ac:dyDescent="0.4">
      <c r="B19" s="6" t="s">
        <v>27</v>
      </c>
      <c r="C19" s="82"/>
      <c r="D19" s="103">
        <f>D17+D15</f>
        <v>456015.76745454548</v>
      </c>
      <c r="E19" s="103">
        <f>E17+E15</f>
        <v>478816.55582727282</v>
      </c>
      <c r="F19" s="103">
        <f>F17+F15</f>
        <v>502757.38361863652</v>
      </c>
      <c r="G19" s="103">
        <f>G17+G15</f>
        <v>501521.91069263982</v>
      </c>
      <c r="I19" s="196">
        <f>D19</f>
        <v>456015.76745454548</v>
      </c>
      <c r="J19" s="197">
        <f t="shared" ref="J19:L19" si="9">E19</f>
        <v>478816.55582727282</v>
      </c>
      <c r="K19" s="197">
        <f t="shared" si="9"/>
        <v>502757.38361863652</v>
      </c>
      <c r="L19" s="198">
        <f t="shared" si="9"/>
        <v>501521.91069263982</v>
      </c>
      <c r="M19" s="138"/>
      <c r="N19" s="196">
        <f>D20</f>
        <v>451341</v>
      </c>
      <c r="O19" s="197">
        <f t="shared" ref="O19:Q19" si="10">E20</f>
        <v>476279</v>
      </c>
      <c r="P19" s="197">
        <f t="shared" si="10"/>
        <v>494627.60000000003</v>
      </c>
      <c r="Q19" s="198">
        <f t="shared" si="10"/>
        <v>501521.91069263982</v>
      </c>
      <c r="R19" s="138"/>
      <c r="S19" s="196">
        <f>N19-I19</f>
        <v>-4674.7674545454793</v>
      </c>
      <c r="T19" s="197">
        <f t="shared" ref="T19:V19" si="11">O19-J19</f>
        <v>-2537.5558272728231</v>
      </c>
      <c r="U19" s="197">
        <f t="shared" si="11"/>
        <v>-8129.7836186364875</v>
      </c>
      <c r="V19" s="227">
        <f t="shared" si="11"/>
        <v>0</v>
      </c>
      <c r="W19" s="234"/>
    </row>
    <row r="20" spans="2:23" ht="12.75" customHeight="1" thickTop="1" x14ac:dyDescent="0.35">
      <c r="C20" s="100" t="s">
        <v>224</v>
      </c>
      <c r="D20" s="105">
        <f>D18+D16</f>
        <v>451341</v>
      </c>
      <c r="E20" s="105">
        <f>E18+E16</f>
        <v>476279</v>
      </c>
      <c r="F20" s="105">
        <f>F18+F16</f>
        <v>494627.60000000003</v>
      </c>
      <c r="G20" s="105">
        <f>G18+G16</f>
        <v>501521.91069263982</v>
      </c>
      <c r="I20" s="216"/>
      <c r="J20" s="217"/>
      <c r="K20" s="217"/>
      <c r="L20" s="218"/>
      <c r="M20" s="138"/>
      <c r="N20" s="216"/>
      <c r="O20" s="217"/>
      <c r="P20" s="217"/>
      <c r="Q20" s="218"/>
      <c r="R20" s="138"/>
      <c r="S20" s="216"/>
      <c r="T20" s="217"/>
      <c r="U20" s="217"/>
      <c r="V20" s="229"/>
      <c r="W20" s="234"/>
    </row>
    <row r="21" spans="2:23" ht="12.75" hidden="1" customHeight="1" x14ac:dyDescent="0.35">
      <c r="B21" s="1" t="s">
        <v>34</v>
      </c>
      <c r="C21" s="80"/>
      <c r="D21" s="101"/>
      <c r="E21" s="109"/>
      <c r="F21" s="101"/>
      <c r="I21" s="196"/>
      <c r="J21" s="197"/>
      <c r="K21" s="197"/>
      <c r="L21" s="198"/>
      <c r="M21" s="138"/>
      <c r="N21" s="196"/>
      <c r="O21" s="197"/>
      <c r="P21" s="197"/>
      <c r="Q21" s="198"/>
      <c r="R21" s="138"/>
      <c r="S21" s="196"/>
      <c r="T21" s="197"/>
      <c r="U21" s="197"/>
      <c r="V21" s="227"/>
      <c r="W21" s="234"/>
    </row>
    <row r="22" spans="2:23" ht="12.75" customHeight="1" x14ac:dyDescent="0.35">
      <c r="B22" s="3" t="s">
        <v>28</v>
      </c>
      <c r="C22" s="83"/>
      <c r="D22" s="103">
        <v>105480</v>
      </c>
      <c r="E22" s="103">
        <v>110754</v>
      </c>
      <c r="F22" s="103">
        <v>110754</v>
      </c>
      <c r="G22" s="103">
        <f>'BASE - Pre CV-19'!O50</f>
        <v>116291.7</v>
      </c>
      <c r="I22" s="196">
        <f>D22</f>
        <v>105480</v>
      </c>
      <c r="J22" s="197">
        <f t="shared" ref="J22:L22" si="12">E22</f>
        <v>110754</v>
      </c>
      <c r="K22" s="197">
        <f t="shared" si="12"/>
        <v>110754</v>
      </c>
      <c r="L22" s="198">
        <f t="shared" si="12"/>
        <v>116291.7</v>
      </c>
      <c r="M22" s="138"/>
      <c r="N22" s="196">
        <f>D23</f>
        <v>112410</v>
      </c>
      <c r="O22" s="197">
        <f t="shared" ref="O22:Q22" si="13">E23</f>
        <v>114568</v>
      </c>
      <c r="P22" s="197">
        <f t="shared" si="13"/>
        <v>120296</v>
      </c>
      <c r="Q22" s="198">
        <f t="shared" si="13"/>
        <v>116291.7</v>
      </c>
      <c r="R22" s="138"/>
      <c r="S22" s="196">
        <f>N22-I22</f>
        <v>6930</v>
      </c>
      <c r="T22" s="197">
        <f t="shared" ref="T22:V22" si="14">O22-J22</f>
        <v>3814</v>
      </c>
      <c r="U22" s="197">
        <f t="shared" si="14"/>
        <v>9542</v>
      </c>
      <c r="V22" s="227">
        <f t="shared" si="14"/>
        <v>0</v>
      </c>
      <c r="W22" s="234"/>
    </row>
    <row r="23" spans="2:23" ht="12.75" customHeight="1" x14ac:dyDescent="0.35">
      <c r="C23" s="100" t="s">
        <v>224</v>
      </c>
      <c r="D23" s="105">
        <v>112410</v>
      </c>
      <c r="E23" s="105">
        <v>114568</v>
      </c>
      <c r="F23" s="105">
        <v>120296</v>
      </c>
      <c r="G23" s="105">
        <f>G22</f>
        <v>116291.7</v>
      </c>
      <c r="I23" s="216"/>
      <c r="J23" s="217"/>
      <c r="K23" s="217"/>
      <c r="L23" s="218"/>
      <c r="M23" s="138"/>
      <c r="N23" s="216"/>
      <c r="O23" s="217"/>
      <c r="P23" s="217"/>
      <c r="Q23" s="218"/>
      <c r="R23" s="138"/>
      <c r="S23" s="216"/>
      <c r="T23" s="217"/>
      <c r="U23" s="217"/>
      <c r="V23" s="229"/>
      <c r="W23" s="234"/>
    </row>
    <row r="24" spans="2:23" ht="12.75" customHeight="1" thickBot="1" x14ac:dyDescent="0.4">
      <c r="B24" s="6" t="s">
        <v>36</v>
      </c>
      <c r="C24" s="85"/>
      <c r="D24" s="103">
        <f>D22+D19</f>
        <v>561495.76745454548</v>
      </c>
      <c r="E24" s="103">
        <f>E22+E19</f>
        <v>589570.55582727282</v>
      </c>
      <c r="F24" s="103">
        <f>F22+F19</f>
        <v>613511.38361863652</v>
      </c>
      <c r="G24" s="103">
        <f>G22+G19</f>
        <v>617813.61069263984</v>
      </c>
      <c r="I24" s="196">
        <f>D24</f>
        <v>561495.76745454548</v>
      </c>
      <c r="J24" s="197">
        <f t="shared" ref="J24:L24" si="15">E24</f>
        <v>589570.55582727282</v>
      </c>
      <c r="K24" s="197">
        <f t="shared" si="15"/>
        <v>613511.38361863652</v>
      </c>
      <c r="L24" s="198">
        <f t="shared" si="15"/>
        <v>617813.61069263984</v>
      </c>
      <c r="M24" s="138"/>
      <c r="N24" s="196">
        <f>D25</f>
        <v>563751</v>
      </c>
      <c r="O24" s="197">
        <f t="shared" ref="O24:Q24" si="16">E25</f>
        <v>590847</v>
      </c>
      <c r="P24" s="197">
        <f t="shared" si="16"/>
        <v>614923.60000000009</v>
      </c>
      <c r="Q24" s="198">
        <f t="shared" si="16"/>
        <v>617813.61069263984</v>
      </c>
      <c r="R24" s="138"/>
      <c r="S24" s="196">
        <f>N24-I24</f>
        <v>2255.2325454545207</v>
      </c>
      <c r="T24" s="197">
        <f t="shared" ref="T24:V24" si="17">O24-J24</f>
        <v>1276.4441727271769</v>
      </c>
      <c r="U24" s="197">
        <f t="shared" si="17"/>
        <v>1412.2163813635707</v>
      </c>
      <c r="V24" s="227">
        <f t="shared" si="17"/>
        <v>0</v>
      </c>
      <c r="W24" s="234" t="s">
        <v>299</v>
      </c>
    </row>
    <row r="25" spans="2:23" ht="12.75" customHeight="1" thickTop="1" x14ac:dyDescent="0.35">
      <c r="C25" s="100" t="s">
        <v>224</v>
      </c>
      <c r="D25" s="105">
        <f>D23+D20</f>
        <v>563751</v>
      </c>
      <c r="E25" s="105">
        <f>E23+E20</f>
        <v>590847</v>
      </c>
      <c r="F25" s="105">
        <f>F23+F20</f>
        <v>614923.60000000009</v>
      </c>
      <c r="G25" s="105">
        <f>G23+G20</f>
        <v>617813.61069263984</v>
      </c>
      <c r="I25" s="216"/>
      <c r="J25" s="217"/>
      <c r="K25" s="217"/>
      <c r="L25" s="218"/>
      <c r="M25" s="138"/>
      <c r="N25" s="216"/>
      <c r="O25" s="217"/>
      <c r="P25" s="217"/>
      <c r="Q25" s="218"/>
      <c r="R25" s="138"/>
      <c r="S25" s="216"/>
      <c r="T25" s="217"/>
      <c r="U25" s="217"/>
      <c r="V25" s="229"/>
      <c r="W25" s="234"/>
    </row>
    <row r="26" spans="2:23" ht="12.75" customHeight="1" x14ac:dyDescent="0.35">
      <c r="B26" s="3" t="s">
        <v>37</v>
      </c>
      <c r="D26" s="106"/>
      <c r="E26" s="107"/>
      <c r="F26" s="108"/>
      <c r="I26" s="222"/>
      <c r="J26" s="223"/>
      <c r="K26" s="223"/>
      <c r="L26" s="224"/>
      <c r="M26" s="138"/>
      <c r="N26" s="222"/>
      <c r="O26" s="223"/>
      <c r="P26" s="223"/>
      <c r="Q26" s="224"/>
      <c r="R26" s="138"/>
      <c r="S26" s="222"/>
      <c r="T26" s="223"/>
      <c r="U26" s="223"/>
      <c r="V26" s="231"/>
      <c r="W26" s="234"/>
    </row>
    <row r="27" spans="2:23" ht="12.75" customHeight="1" x14ac:dyDescent="0.35">
      <c r="B27" s="1" t="s">
        <v>38</v>
      </c>
      <c r="C27" s="80"/>
      <c r="D27" s="101">
        <v>6300</v>
      </c>
      <c r="E27" s="109">
        <v>7000</v>
      </c>
      <c r="F27" s="101">
        <v>7500</v>
      </c>
      <c r="G27" s="32"/>
      <c r="I27" s="219"/>
      <c r="J27" s="220"/>
      <c r="K27" s="220"/>
      <c r="L27" s="221"/>
      <c r="M27" s="138"/>
      <c r="N27" s="219"/>
      <c r="O27" s="220"/>
      <c r="P27" s="220"/>
      <c r="Q27" s="221"/>
      <c r="R27" s="138"/>
      <c r="S27" s="219"/>
      <c r="T27" s="220"/>
      <c r="U27" s="220"/>
      <c r="V27" s="230"/>
      <c r="W27" s="234"/>
    </row>
    <row r="28" spans="2:23" ht="12.75" customHeight="1" x14ac:dyDescent="0.35">
      <c r="B28" s="5" t="s">
        <v>41</v>
      </c>
      <c r="C28" s="83"/>
      <c r="D28" s="103">
        <v>6300</v>
      </c>
      <c r="E28" s="103">
        <v>7000</v>
      </c>
      <c r="F28" s="103">
        <v>7500</v>
      </c>
      <c r="G28" s="103">
        <f>'BASE - Pre CV-19'!O58</f>
        <v>7650</v>
      </c>
      <c r="I28" s="196">
        <f>D28</f>
        <v>6300</v>
      </c>
      <c r="J28" s="197">
        <f t="shared" ref="J28:L28" si="18">E28</f>
        <v>7000</v>
      </c>
      <c r="K28" s="197">
        <f t="shared" si="18"/>
        <v>7500</v>
      </c>
      <c r="L28" s="198">
        <f t="shared" si="18"/>
        <v>7650</v>
      </c>
      <c r="M28" s="138"/>
      <c r="N28" s="196">
        <f>D29</f>
        <v>10856</v>
      </c>
      <c r="O28" s="197">
        <f t="shared" ref="O28:Q28" si="19">E29</f>
        <v>7000</v>
      </c>
      <c r="P28" s="197">
        <f t="shared" si="19"/>
        <v>7500</v>
      </c>
      <c r="Q28" s="198">
        <f t="shared" si="19"/>
        <v>7650</v>
      </c>
      <c r="R28" s="138"/>
      <c r="S28" s="196">
        <f>N28-I28</f>
        <v>4556</v>
      </c>
      <c r="T28" s="197">
        <f t="shared" ref="T28:V28" si="20">O28-J28</f>
        <v>0</v>
      </c>
      <c r="U28" s="197">
        <f t="shared" si="20"/>
        <v>0</v>
      </c>
      <c r="V28" s="227">
        <f t="shared" si="20"/>
        <v>0</v>
      </c>
      <c r="W28" s="234"/>
    </row>
    <row r="29" spans="2:23" ht="12.75" customHeight="1" x14ac:dyDescent="0.35">
      <c r="C29" s="100" t="s">
        <v>224</v>
      </c>
      <c r="D29" s="105">
        <v>10856</v>
      </c>
      <c r="E29" s="105">
        <v>7000</v>
      </c>
      <c r="F29" s="105">
        <v>7500</v>
      </c>
      <c r="G29" s="105">
        <f>G28</f>
        <v>7650</v>
      </c>
      <c r="I29" s="216"/>
      <c r="J29" s="217"/>
      <c r="K29" s="217"/>
      <c r="L29" s="218"/>
      <c r="M29" s="138"/>
      <c r="N29" s="216"/>
      <c r="O29" s="217"/>
      <c r="P29" s="217"/>
      <c r="Q29" s="218"/>
      <c r="R29" s="138"/>
      <c r="S29" s="216"/>
      <c r="T29" s="217"/>
      <c r="U29" s="217"/>
      <c r="V29" s="229"/>
      <c r="W29" s="234"/>
    </row>
    <row r="30" spans="2:23" ht="12.75" customHeight="1" x14ac:dyDescent="0.35">
      <c r="B30" s="3" t="s">
        <v>42</v>
      </c>
      <c r="C30" s="84"/>
      <c r="D30" s="106"/>
      <c r="E30" s="107"/>
      <c r="F30" s="108"/>
      <c r="I30" s="222"/>
      <c r="J30" s="223"/>
      <c r="K30" s="223"/>
      <c r="L30" s="224"/>
      <c r="M30" s="138"/>
      <c r="N30" s="222"/>
      <c r="O30" s="223"/>
      <c r="P30" s="223"/>
      <c r="Q30" s="224"/>
      <c r="R30" s="138"/>
      <c r="S30" s="222"/>
      <c r="T30" s="223"/>
      <c r="U30" s="223"/>
      <c r="V30" s="231"/>
      <c r="W30" s="234"/>
    </row>
    <row r="31" spans="2:23" ht="12.75" customHeight="1" x14ac:dyDescent="0.35">
      <c r="B31" s="1" t="s">
        <v>44</v>
      </c>
      <c r="C31" s="83"/>
      <c r="D31" s="103">
        <v>34000</v>
      </c>
      <c r="E31" s="103">
        <v>35000</v>
      </c>
      <c r="F31" s="103">
        <v>36000</v>
      </c>
      <c r="G31" s="103">
        <f>'BASE - Pre CV-19'!O64</f>
        <v>38000</v>
      </c>
      <c r="I31" s="196">
        <f>D31</f>
        <v>34000</v>
      </c>
      <c r="J31" s="197">
        <f t="shared" ref="J31:L31" si="21">E31</f>
        <v>35000</v>
      </c>
      <c r="K31" s="197">
        <f t="shared" si="21"/>
        <v>36000</v>
      </c>
      <c r="L31" s="198">
        <f t="shared" si="21"/>
        <v>38000</v>
      </c>
      <c r="M31" s="138"/>
      <c r="N31" s="196">
        <f>D32</f>
        <v>0</v>
      </c>
      <c r="O31" s="197">
        <f t="shared" ref="O31:Q31" si="22">E32</f>
        <v>35000</v>
      </c>
      <c r="P31" s="197">
        <f t="shared" si="22"/>
        <v>36000</v>
      </c>
      <c r="Q31" s="198">
        <f t="shared" si="22"/>
        <v>38000</v>
      </c>
      <c r="R31" s="138"/>
      <c r="S31" s="196">
        <f>N31-I31</f>
        <v>-34000</v>
      </c>
      <c r="T31" s="197">
        <f t="shared" ref="T31:V31" si="23">O31-J31</f>
        <v>0</v>
      </c>
      <c r="U31" s="197">
        <f t="shared" si="23"/>
        <v>0</v>
      </c>
      <c r="V31" s="227">
        <f t="shared" si="23"/>
        <v>0</v>
      </c>
      <c r="W31" s="234"/>
    </row>
    <row r="32" spans="2:23" ht="12.75" customHeight="1" x14ac:dyDescent="0.35">
      <c r="B32" s="290"/>
      <c r="C32" s="100" t="s">
        <v>224</v>
      </c>
      <c r="D32" s="113">
        <v>0</v>
      </c>
      <c r="E32" s="113">
        <v>35000</v>
      </c>
      <c r="F32" s="113">
        <v>36000</v>
      </c>
      <c r="G32" s="105">
        <f>G31</f>
        <v>38000</v>
      </c>
      <c r="I32" s="216"/>
      <c r="J32" s="217"/>
      <c r="K32" s="217"/>
      <c r="L32" s="218"/>
      <c r="M32" s="138"/>
      <c r="N32" s="216"/>
      <c r="O32" s="217"/>
      <c r="P32" s="217"/>
      <c r="Q32" s="218"/>
      <c r="R32" s="138"/>
      <c r="S32" s="216"/>
      <c r="T32" s="217"/>
      <c r="U32" s="217"/>
      <c r="V32" s="229"/>
      <c r="W32" s="234"/>
    </row>
    <row r="33" spans="2:23" ht="12.75" customHeight="1" x14ac:dyDescent="0.35">
      <c r="B33" s="1" t="s">
        <v>47</v>
      </c>
      <c r="C33" s="83"/>
      <c r="D33" s="103">
        <v>97416.709999999992</v>
      </c>
      <c r="E33" s="103">
        <v>0</v>
      </c>
      <c r="F33" s="103">
        <v>103000</v>
      </c>
      <c r="G33" s="103">
        <f>'BASE - Pre CV-19'!O69</f>
        <v>0</v>
      </c>
      <c r="I33" s="196">
        <f>D33</f>
        <v>97416.709999999992</v>
      </c>
      <c r="J33" s="197">
        <f t="shared" ref="J33:L33" si="24">E33</f>
        <v>0</v>
      </c>
      <c r="K33" s="197">
        <f t="shared" si="24"/>
        <v>103000</v>
      </c>
      <c r="L33" s="198">
        <f t="shared" si="24"/>
        <v>0</v>
      </c>
      <c r="M33" s="138"/>
      <c r="N33" s="196">
        <f>D34</f>
        <v>68880</v>
      </c>
      <c r="O33" s="197">
        <f t="shared" ref="O33:Q33" si="25">E34</f>
        <v>0</v>
      </c>
      <c r="P33" s="197">
        <f t="shared" si="25"/>
        <v>103000</v>
      </c>
      <c r="Q33" s="198">
        <f t="shared" si="25"/>
        <v>0</v>
      </c>
      <c r="R33" s="138"/>
      <c r="S33" s="196">
        <f>N33-I33</f>
        <v>-28536.709999999992</v>
      </c>
      <c r="T33" s="197">
        <f t="shared" ref="T33:V33" si="26">O33-J33</f>
        <v>0</v>
      </c>
      <c r="U33" s="197">
        <f t="shared" si="26"/>
        <v>0</v>
      </c>
      <c r="V33" s="227">
        <f t="shared" si="26"/>
        <v>0</v>
      </c>
      <c r="W33" s="234"/>
    </row>
    <row r="34" spans="2:23" ht="12.75" customHeight="1" x14ac:dyDescent="0.35">
      <c r="B34" s="290"/>
      <c r="C34" s="100" t="s">
        <v>224</v>
      </c>
      <c r="D34" s="113">
        <v>68880</v>
      </c>
      <c r="E34" s="113"/>
      <c r="F34" s="113">
        <v>103000</v>
      </c>
      <c r="G34" s="105">
        <f>G33</f>
        <v>0</v>
      </c>
      <c r="I34" s="216"/>
      <c r="J34" s="217"/>
      <c r="K34" s="217"/>
      <c r="L34" s="218"/>
      <c r="M34" s="138"/>
      <c r="N34" s="216"/>
      <c r="O34" s="217"/>
      <c r="P34" s="217"/>
      <c r="Q34" s="218"/>
      <c r="R34" s="138"/>
      <c r="S34" s="216"/>
      <c r="T34" s="217"/>
      <c r="U34" s="217"/>
      <c r="V34" s="229"/>
      <c r="W34" s="234"/>
    </row>
    <row r="35" spans="2:23" ht="12.75" customHeight="1" x14ac:dyDescent="0.35">
      <c r="B35" s="1" t="s">
        <v>51</v>
      </c>
      <c r="C35" s="83"/>
      <c r="D35" s="103">
        <v>0</v>
      </c>
      <c r="E35" s="103">
        <v>127810.85</v>
      </c>
      <c r="F35" s="103"/>
      <c r="G35" s="103">
        <f>'BASE - Pre CV-19'!O74</f>
        <v>133576.39250000002</v>
      </c>
      <c r="I35" s="196">
        <f>D35</f>
        <v>0</v>
      </c>
      <c r="J35" s="197">
        <f t="shared" ref="J35:L35" si="27">E35</f>
        <v>127810.85</v>
      </c>
      <c r="K35" s="197">
        <f t="shared" si="27"/>
        <v>0</v>
      </c>
      <c r="L35" s="198">
        <f t="shared" si="27"/>
        <v>133576.39250000002</v>
      </c>
      <c r="M35" s="138"/>
      <c r="N35" s="196">
        <f>D36</f>
        <v>0</v>
      </c>
      <c r="O35" s="197">
        <f t="shared" ref="O35:Q35" si="28">E36</f>
        <v>0</v>
      </c>
      <c r="P35" s="197">
        <f t="shared" si="28"/>
        <v>127811</v>
      </c>
      <c r="Q35" s="198">
        <f t="shared" si="28"/>
        <v>133576.39250000002</v>
      </c>
      <c r="R35" s="138"/>
      <c r="S35" s="196">
        <f>N35-I35</f>
        <v>0</v>
      </c>
      <c r="T35" s="197">
        <f t="shared" ref="T35:V35" si="29">O35-J35</f>
        <v>-127810.85</v>
      </c>
      <c r="U35" s="197">
        <f t="shared" si="29"/>
        <v>127811</v>
      </c>
      <c r="V35" s="227">
        <f t="shared" si="29"/>
        <v>0</v>
      </c>
      <c r="W35" s="234" t="s">
        <v>315</v>
      </c>
    </row>
    <row r="36" spans="2:23" ht="12.75" customHeight="1" x14ac:dyDescent="0.35">
      <c r="B36" s="290"/>
      <c r="C36" s="100" t="s">
        <v>224</v>
      </c>
      <c r="D36" s="113">
        <v>0</v>
      </c>
      <c r="E36" s="113"/>
      <c r="F36" s="113">
        <v>127811</v>
      </c>
      <c r="G36" s="105">
        <f>G35</f>
        <v>133576.39250000002</v>
      </c>
      <c r="I36" s="216"/>
      <c r="J36" s="217"/>
      <c r="K36" s="217"/>
      <c r="L36" s="218"/>
      <c r="M36" s="138"/>
      <c r="N36" s="216"/>
      <c r="O36" s="217"/>
      <c r="P36" s="217"/>
      <c r="Q36" s="218"/>
      <c r="R36" s="138"/>
      <c r="S36" s="216"/>
      <c r="T36" s="217"/>
      <c r="U36" s="217"/>
      <c r="V36" s="229"/>
      <c r="W36" s="234"/>
    </row>
    <row r="37" spans="2:23" ht="12.75" customHeight="1" x14ac:dyDescent="0.35">
      <c r="B37" s="1" t="s">
        <v>55</v>
      </c>
      <c r="C37" s="83"/>
      <c r="D37" s="103">
        <v>0</v>
      </c>
      <c r="E37" s="103">
        <v>201960</v>
      </c>
      <c r="F37" s="103">
        <v>0</v>
      </c>
      <c r="G37" s="103">
        <f>'BASE - Pre CV-19'!O79</f>
        <v>208508.40000000002</v>
      </c>
      <c r="I37" s="196">
        <f>D37</f>
        <v>0</v>
      </c>
      <c r="J37" s="197">
        <f t="shared" ref="J37:L37" si="30">E37</f>
        <v>201960</v>
      </c>
      <c r="K37" s="197">
        <f t="shared" si="30"/>
        <v>0</v>
      </c>
      <c r="L37" s="198">
        <f t="shared" si="30"/>
        <v>208508.40000000002</v>
      </c>
      <c r="M37" s="138"/>
      <c r="N37" s="196">
        <f>D38</f>
        <v>0</v>
      </c>
      <c r="O37" s="197">
        <f t="shared" ref="O37:Q37" si="31">E38</f>
        <v>201960</v>
      </c>
      <c r="P37" s="197">
        <f t="shared" si="31"/>
        <v>0</v>
      </c>
      <c r="Q37" s="198">
        <f t="shared" si="31"/>
        <v>208508.40000000002</v>
      </c>
      <c r="R37" s="138"/>
      <c r="S37" s="196">
        <f>N37-I37</f>
        <v>0</v>
      </c>
      <c r="T37" s="197">
        <f t="shared" ref="T37:V37" si="32">O37-J37</f>
        <v>0</v>
      </c>
      <c r="U37" s="197">
        <f t="shared" si="32"/>
        <v>0</v>
      </c>
      <c r="V37" s="227">
        <f t="shared" si="32"/>
        <v>0</v>
      </c>
      <c r="W37" s="234"/>
    </row>
    <row r="38" spans="2:23" ht="12.75" customHeight="1" x14ac:dyDescent="0.35">
      <c r="B38" s="290"/>
      <c r="C38" s="100" t="s">
        <v>224</v>
      </c>
      <c r="D38" s="113"/>
      <c r="E38" s="113">
        <v>201960</v>
      </c>
      <c r="F38" s="113"/>
      <c r="G38" s="105">
        <f>G37</f>
        <v>208508.40000000002</v>
      </c>
      <c r="I38" s="216"/>
      <c r="J38" s="217"/>
      <c r="K38" s="217"/>
      <c r="L38" s="218"/>
      <c r="M38" s="138"/>
      <c r="N38" s="216"/>
      <c r="O38" s="217"/>
      <c r="P38" s="217"/>
      <c r="Q38" s="218"/>
      <c r="R38" s="138"/>
      <c r="S38" s="216"/>
      <c r="T38" s="217"/>
      <c r="U38" s="217"/>
      <c r="V38" s="229"/>
      <c r="W38" s="234"/>
    </row>
    <row r="39" spans="2:23" ht="12.75" customHeight="1" x14ac:dyDescent="0.35">
      <c r="B39" s="1" t="s">
        <v>59</v>
      </c>
      <c r="C39" s="83"/>
      <c r="D39" s="103">
        <v>135000</v>
      </c>
      <c r="E39" s="103">
        <v>0</v>
      </c>
      <c r="F39" s="103">
        <v>5000</v>
      </c>
      <c r="G39" s="103">
        <f>'BASE - Pre CV-19'!O84</f>
        <v>5000</v>
      </c>
      <c r="I39" s="196">
        <f>D39</f>
        <v>135000</v>
      </c>
      <c r="J39" s="197">
        <f t="shared" ref="J39:L39" si="33">E39</f>
        <v>0</v>
      </c>
      <c r="K39" s="197">
        <f t="shared" si="33"/>
        <v>5000</v>
      </c>
      <c r="L39" s="198">
        <f t="shared" si="33"/>
        <v>5000</v>
      </c>
      <c r="M39" s="138"/>
      <c r="N39" s="196">
        <f>D40</f>
        <v>114827</v>
      </c>
      <c r="O39" s="197">
        <f t="shared" ref="O39:Q39" si="34">E40</f>
        <v>0</v>
      </c>
      <c r="P39" s="197">
        <f t="shared" si="34"/>
        <v>5000</v>
      </c>
      <c r="Q39" s="198">
        <f t="shared" si="34"/>
        <v>5000</v>
      </c>
      <c r="R39" s="138"/>
      <c r="S39" s="196">
        <f>N39-I39</f>
        <v>-20173</v>
      </c>
      <c r="T39" s="197">
        <f t="shared" ref="T39:V39" si="35">O39-J39</f>
        <v>0</v>
      </c>
      <c r="U39" s="197">
        <f t="shared" si="35"/>
        <v>0</v>
      </c>
      <c r="V39" s="227">
        <f t="shared" si="35"/>
        <v>0</v>
      </c>
      <c r="W39" s="234"/>
    </row>
    <row r="40" spans="2:23" ht="12.75" customHeight="1" x14ac:dyDescent="0.35">
      <c r="B40" s="98"/>
      <c r="C40" s="100" t="s">
        <v>224</v>
      </c>
      <c r="D40" s="113">
        <v>114827</v>
      </c>
      <c r="E40" s="113"/>
      <c r="F40" s="113">
        <v>5000</v>
      </c>
      <c r="G40" s="105">
        <f>G39</f>
        <v>5000</v>
      </c>
      <c r="I40" s="196"/>
      <c r="J40" s="197"/>
      <c r="K40" s="197"/>
      <c r="L40" s="198"/>
      <c r="M40" s="138"/>
      <c r="N40" s="196"/>
      <c r="O40" s="197"/>
      <c r="P40" s="197"/>
      <c r="Q40" s="198"/>
      <c r="R40" s="138"/>
      <c r="S40" s="196"/>
      <c r="T40" s="197"/>
      <c r="U40" s="197"/>
      <c r="V40" s="227"/>
      <c r="W40" s="234"/>
    </row>
    <row r="41" spans="2:23" ht="12.75" customHeight="1" x14ac:dyDescent="0.35">
      <c r="C41" s="84"/>
      <c r="D41" s="106"/>
      <c r="E41" s="107"/>
      <c r="F41" s="108"/>
      <c r="I41" s="196"/>
      <c r="J41" s="197"/>
      <c r="K41" s="197"/>
      <c r="L41" s="198"/>
      <c r="M41" s="138"/>
      <c r="N41" s="196"/>
      <c r="O41" s="197"/>
      <c r="P41" s="197"/>
      <c r="Q41" s="198"/>
      <c r="R41" s="138"/>
      <c r="S41" s="196"/>
      <c r="T41" s="197"/>
      <c r="U41" s="197"/>
      <c r="V41" s="227"/>
      <c r="W41" s="234"/>
    </row>
    <row r="42" spans="2:23" ht="12.75" customHeight="1" thickBot="1" x14ac:dyDescent="0.4">
      <c r="B42" s="6" t="s">
        <v>62</v>
      </c>
      <c r="C42" s="85"/>
      <c r="D42" s="116">
        <f>D39+D37+D35+D33+D31</f>
        <v>266416.70999999996</v>
      </c>
      <c r="E42" s="116">
        <f>E39+E37+E35+E33+E31</f>
        <v>364770.85</v>
      </c>
      <c r="F42" s="116">
        <f>F39+F37+F35+F33+F31</f>
        <v>144000</v>
      </c>
      <c r="G42" s="103">
        <f>'BASE - Pre CV-19'!O86</f>
        <v>385084.79250000004</v>
      </c>
      <c r="I42" s="196">
        <f>D42</f>
        <v>266416.70999999996</v>
      </c>
      <c r="J42" s="197">
        <f t="shared" ref="J42:L42" si="36">E42</f>
        <v>364770.85</v>
      </c>
      <c r="K42" s="197">
        <f t="shared" si="36"/>
        <v>144000</v>
      </c>
      <c r="L42" s="198">
        <f t="shared" si="36"/>
        <v>385084.79250000004</v>
      </c>
      <c r="M42" s="138"/>
      <c r="N42" s="196">
        <f>D43</f>
        <v>183707</v>
      </c>
      <c r="O42" s="197">
        <f t="shared" ref="O42:Q42" si="37">E43</f>
        <v>236960</v>
      </c>
      <c r="P42" s="197">
        <f t="shared" si="37"/>
        <v>271811</v>
      </c>
      <c r="Q42" s="198">
        <f t="shared" si="37"/>
        <v>385084.79250000004</v>
      </c>
      <c r="R42" s="138"/>
      <c r="S42" s="196">
        <f>N42-I42</f>
        <v>-82709.709999999963</v>
      </c>
      <c r="T42" s="197">
        <f t="shared" ref="T42:V42" si="38">O42-J42</f>
        <v>-127810.84999999998</v>
      </c>
      <c r="U42" s="197">
        <f t="shared" si="38"/>
        <v>127811</v>
      </c>
      <c r="V42" s="227">
        <f t="shared" si="38"/>
        <v>0</v>
      </c>
      <c r="W42" s="234" t="s">
        <v>300</v>
      </c>
    </row>
    <row r="43" spans="2:23" ht="12.75" customHeight="1" thickTop="1" x14ac:dyDescent="0.35">
      <c r="B43" s="98"/>
      <c r="C43" s="100" t="s">
        <v>224</v>
      </c>
      <c r="D43" s="113">
        <f>D40+D38+D36+D34+D32</f>
        <v>183707</v>
      </c>
      <c r="E43" s="113">
        <f>E40+E38+E36+E34+E32</f>
        <v>236960</v>
      </c>
      <c r="F43" s="113">
        <f>F40+F38+F36+F34+F32</f>
        <v>271811</v>
      </c>
      <c r="G43" s="105">
        <f>G42</f>
        <v>385084.79250000004</v>
      </c>
      <c r="I43" s="216"/>
      <c r="J43" s="217"/>
      <c r="K43" s="217"/>
      <c r="L43" s="218"/>
      <c r="M43" s="138"/>
      <c r="N43" s="216"/>
      <c r="O43" s="217"/>
      <c r="P43" s="217"/>
      <c r="Q43" s="218"/>
      <c r="R43" s="138"/>
      <c r="S43" s="216"/>
      <c r="T43" s="217"/>
      <c r="U43" s="217"/>
      <c r="V43" s="229"/>
      <c r="W43" s="234"/>
    </row>
    <row r="44" spans="2:23" ht="12.75" customHeight="1" x14ac:dyDescent="0.35">
      <c r="C44" s="84"/>
      <c r="D44" s="106"/>
      <c r="E44" s="107"/>
      <c r="F44" s="108"/>
      <c r="I44" s="219"/>
      <c r="J44" s="220"/>
      <c r="K44" s="220"/>
      <c r="L44" s="221"/>
      <c r="M44" s="138"/>
      <c r="N44" s="219"/>
      <c r="O44" s="220"/>
      <c r="P44" s="220"/>
      <c r="Q44" s="221"/>
      <c r="R44" s="138"/>
      <c r="S44" s="219"/>
      <c r="T44" s="220"/>
      <c r="U44" s="220"/>
      <c r="V44" s="230"/>
      <c r="W44" s="234"/>
    </row>
    <row r="45" spans="2:23" ht="12.75" customHeight="1" thickBot="1" x14ac:dyDescent="0.4">
      <c r="B45" s="6" t="s">
        <v>63</v>
      </c>
      <c r="C45" s="85"/>
      <c r="D45" s="103">
        <f>D42+D28+D24+D12</f>
        <v>879912.47745454544</v>
      </c>
      <c r="E45" s="103">
        <f>E42+E28+E24+E12</f>
        <v>998041.4058272728</v>
      </c>
      <c r="F45" s="103">
        <f>F42+F28+F24+F12</f>
        <v>801711.38361863652</v>
      </c>
      <c r="G45" s="103">
        <f>'BASE - Pre CV-19'!O88</f>
        <v>1034248.4031926398</v>
      </c>
      <c r="H45" s="106">
        <f>G42+G28+G24+G12</f>
        <v>1034248.4031926398</v>
      </c>
      <c r="I45" s="196">
        <f>D45</f>
        <v>879912.47745454544</v>
      </c>
      <c r="J45" s="197">
        <f t="shared" ref="J45:L45" si="39">E45</f>
        <v>998041.4058272728</v>
      </c>
      <c r="K45" s="197">
        <f t="shared" si="39"/>
        <v>801711.38361863652</v>
      </c>
      <c r="L45" s="198">
        <f t="shared" si="39"/>
        <v>1034248.4031926398</v>
      </c>
      <c r="M45" s="138"/>
      <c r="N45" s="196">
        <f>D46</f>
        <v>792298</v>
      </c>
      <c r="O45" s="197">
        <f t="shared" ref="O45:Q45" si="40">E46</f>
        <v>862307</v>
      </c>
      <c r="P45" s="197">
        <f t="shared" si="40"/>
        <v>921734.60000000009</v>
      </c>
      <c r="Q45" s="198">
        <f t="shared" si="40"/>
        <v>1034248.4031926398</v>
      </c>
      <c r="R45" s="138"/>
      <c r="S45" s="196">
        <f>N45-I45</f>
        <v>-87614.477454545442</v>
      </c>
      <c r="T45" s="197">
        <f t="shared" ref="T45:V45" si="41">O45-J45</f>
        <v>-135734.4058272728</v>
      </c>
      <c r="U45" s="197">
        <f t="shared" si="41"/>
        <v>120023.21638136357</v>
      </c>
      <c r="V45" s="227">
        <f t="shared" si="41"/>
        <v>0</v>
      </c>
      <c r="W45" s="234"/>
    </row>
    <row r="46" spans="2:23" ht="12.75" customHeight="1" thickTop="1" x14ac:dyDescent="0.35">
      <c r="B46" s="98"/>
      <c r="C46" s="100" t="s">
        <v>224</v>
      </c>
      <c r="D46" s="113">
        <f>D43+D29+D25+D13</f>
        <v>792298</v>
      </c>
      <c r="E46" s="113">
        <f>E43+E29+E25+E13</f>
        <v>862307</v>
      </c>
      <c r="F46" s="113">
        <f>F43+F29+F25+F13</f>
        <v>921734.60000000009</v>
      </c>
      <c r="G46" s="105">
        <f>G43+G29+G25+G13</f>
        <v>1034248.4031926398</v>
      </c>
      <c r="I46" s="216"/>
      <c r="J46" s="217"/>
      <c r="K46" s="217"/>
      <c r="L46" s="218"/>
      <c r="M46" s="138"/>
      <c r="N46" s="216"/>
      <c r="O46" s="217"/>
      <c r="P46" s="217"/>
      <c r="Q46" s="218"/>
      <c r="R46" s="138"/>
      <c r="S46" s="216"/>
      <c r="T46" s="217"/>
      <c r="U46" s="217"/>
      <c r="V46" s="229"/>
      <c r="W46" s="234"/>
    </row>
    <row r="47" spans="2:23" ht="12.75" customHeight="1" x14ac:dyDescent="0.35">
      <c r="B47" s="98"/>
      <c r="C47" s="99"/>
      <c r="D47" s="115"/>
      <c r="E47" s="115"/>
      <c r="F47" s="116"/>
      <c r="I47" s="222"/>
      <c r="J47" s="223"/>
      <c r="K47" s="223"/>
      <c r="L47" s="224"/>
      <c r="M47" s="138"/>
      <c r="N47" s="222"/>
      <c r="O47" s="223"/>
      <c r="P47" s="223"/>
      <c r="Q47" s="224"/>
      <c r="R47" s="138"/>
      <c r="S47" s="222"/>
      <c r="T47" s="223"/>
      <c r="U47" s="223"/>
      <c r="V47" s="231"/>
      <c r="W47" s="234"/>
    </row>
    <row r="48" spans="2:23" ht="12.75" customHeight="1" x14ac:dyDescent="0.35">
      <c r="B48" s="3" t="s">
        <v>65</v>
      </c>
      <c r="D48" s="106"/>
      <c r="E48" s="107"/>
      <c r="F48" s="108"/>
      <c r="I48" s="222"/>
      <c r="J48" s="223"/>
      <c r="K48" s="223"/>
      <c r="L48" s="224"/>
      <c r="M48" s="138"/>
      <c r="N48" s="222"/>
      <c r="O48" s="223"/>
      <c r="P48" s="223"/>
      <c r="Q48" s="224"/>
      <c r="R48" s="138"/>
      <c r="S48" s="222"/>
      <c r="T48" s="223"/>
      <c r="U48" s="223"/>
      <c r="V48" s="231"/>
      <c r="W48" s="234"/>
    </row>
    <row r="49" spans="2:23" ht="12.75" customHeight="1" x14ac:dyDescent="0.35">
      <c r="B49" s="3"/>
      <c r="D49" s="106"/>
      <c r="E49" s="107"/>
      <c r="F49" s="108"/>
      <c r="I49" s="222"/>
      <c r="J49" s="223"/>
      <c r="K49" s="223"/>
      <c r="L49" s="224"/>
      <c r="M49" s="138"/>
      <c r="N49" s="222"/>
      <c r="O49" s="223"/>
      <c r="P49" s="223"/>
      <c r="Q49" s="224"/>
      <c r="R49" s="138"/>
      <c r="S49" s="222"/>
      <c r="T49" s="223"/>
      <c r="U49" s="223"/>
      <c r="V49" s="231"/>
      <c r="W49" s="234"/>
    </row>
    <row r="50" spans="2:23" ht="12.75" customHeight="1" x14ac:dyDescent="0.35">
      <c r="B50" t="s">
        <v>226</v>
      </c>
      <c r="D50" s="105">
        <v>97066</v>
      </c>
      <c r="E50" s="107"/>
      <c r="F50" s="108"/>
      <c r="I50" s="219"/>
      <c r="J50" s="220"/>
      <c r="K50" s="220"/>
      <c r="L50" s="221"/>
      <c r="M50" s="138"/>
      <c r="N50" s="219"/>
      <c r="O50" s="220"/>
      <c r="P50" s="220"/>
      <c r="Q50" s="221"/>
      <c r="R50" s="138"/>
      <c r="S50" s="219"/>
      <c r="T50" s="220"/>
      <c r="U50" s="220"/>
      <c r="V50" s="230"/>
      <c r="W50" s="234"/>
    </row>
    <row r="51" spans="2:23" ht="12.75" customHeight="1" x14ac:dyDescent="0.35">
      <c r="B51" s="3" t="s">
        <v>225</v>
      </c>
      <c r="D51" s="103">
        <v>66700</v>
      </c>
      <c r="E51" s="103">
        <v>65834</v>
      </c>
      <c r="F51" s="103">
        <v>68990</v>
      </c>
      <c r="G51" s="103">
        <f>'BASE - Pre CV-19'!O95+'BASE - Pre CV-19'!O96+'BASE - Pre CV-19'!O100</f>
        <v>66985.125599999999</v>
      </c>
      <c r="I51" s="196">
        <f>D51</f>
        <v>66700</v>
      </c>
      <c r="J51" s="197">
        <f t="shared" ref="J51:L51" si="42">E51</f>
        <v>65834</v>
      </c>
      <c r="K51" s="197">
        <f t="shared" si="42"/>
        <v>68990</v>
      </c>
      <c r="L51" s="198">
        <f t="shared" si="42"/>
        <v>66985.125599999999</v>
      </c>
      <c r="M51" s="138"/>
      <c r="N51" s="196">
        <f>D52</f>
        <v>54993</v>
      </c>
      <c r="O51" s="197">
        <f t="shared" ref="O51:Q51" si="43">E52</f>
        <v>65834</v>
      </c>
      <c r="P51" s="197">
        <f t="shared" si="43"/>
        <v>68990</v>
      </c>
      <c r="Q51" s="198">
        <f t="shared" si="43"/>
        <v>66985.125599999999</v>
      </c>
      <c r="R51" s="138"/>
      <c r="S51" s="196">
        <f>N51-I51</f>
        <v>-11707</v>
      </c>
      <c r="T51" s="197">
        <f t="shared" ref="T51:V51" si="44">O51-J51</f>
        <v>0</v>
      </c>
      <c r="U51" s="197">
        <f t="shared" si="44"/>
        <v>0</v>
      </c>
      <c r="V51" s="227">
        <f t="shared" si="44"/>
        <v>0</v>
      </c>
      <c r="W51" s="234"/>
    </row>
    <row r="52" spans="2:23" ht="12.75" customHeight="1" x14ac:dyDescent="0.35">
      <c r="B52" s="3"/>
      <c r="C52" s="100" t="s">
        <v>224</v>
      </c>
      <c r="D52" s="105">
        <v>54993</v>
      </c>
      <c r="E52" s="105">
        <v>65834</v>
      </c>
      <c r="F52" s="105">
        <v>68990</v>
      </c>
      <c r="G52" s="105">
        <f>G51</f>
        <v>66985.125599999999</v>
      </c>
      <c r="I52" s="216"/>
      <c r="J52" s="217"/>
      <c r="K52" s="217"/>
      <c r="L52" s="218"/>
      <c r="M52" s="138"/>
      <c r="N52" s="216"/>
      <c r="O52" s="217"/>
      <c r="P52" s="217"/>
      <c r="Q52" s="218"/>
      <c r="R52" s="138"/>
      <c r="S52" s="216"/>
      <c r="T52" s="217"/>
      <c r="U52" s="217"/>
      <c r="V52" s="229"/>
      <c r="W52" s="234"/>
    </row>
    <row r="53" spans="2:23" ht="12.75" customHeight="1" x14ac:dyDescent="0.35">
      <c r="B53" s="3" t="s">
        <v>73</v>
      </c>
      <c r="C53" s="33"/>
      <c r="D53" s="103">
        <v>35391.565799999997</v>
      </c>
      <c r="E53" s="103">
        <v>36821.734484000001</v>
      </c>
      <c r="F53" s="103">
        <v>38329.059794319997</v>
      </c>
      <c r="G53" s="103">
        <f>'BASE - Pre CV-19'!O115</f>
        <v>40606.326298433603</v>
      </c>
      <c r="I53" s="196">
        <f>D53</f>
        <v>35391.565799999997</v>
      </c>
      <c r="J53" s="197">
        <f t="shared" ref="J53:L53" si="45">E53</f>
        <v>36821.734484000001</v>
      </c>
      <c r="K53" s="197">
        <f t="shared" si="45"/>
        <v>38329.059794319997</v>
      </c>
      <c r="L53" s="198">
        <f t="shared" si="45"/>
        <v>40606.326298433603</v>
      </c>
      <c r="M53" s="138"/>
      <c r="N53" s="196">
        <f>D54</f>
        <v>34069</v>
      </c>
      <c r="O53" s="197">
        <f t="shared" ref="O53:Q53" si="46">E54</f>
        <v>40797</v>
      </c>
      <c r="P53" s="197">
        <f t="shared" si="46"/>
        <v>38330</v>
      </c>
      <c r="Q53" s="198">
        <f t="shared" si="46"/>
        <v>40606.326298433603</v>
      </c>
      <c r="R53" s="138"/>
      <c r="S53" s="196">
        <f>N53-I53</f>
        <v>-1322.5657999999967</v>
      </c>
      <c r="T53" s="197">
        <f t="shared" ref="T53:V53" si="47">O53-J53</f>
        <v>3975.2655159999995</v>
      </c>
      <c r="U53" s="197">
        <f t="shared" si="47"/>
        <v>0.94020568000269122</v>
      </c>
      <c r="V53" s="227">
        <f t="shared" si="47"/>
        <v>0</v>
      </c>
      <c r="W53" s="234"/>
    </row>
    <row r="54" spans="2:23" ht="12.75" customHeight="1" x14ac:dyDescent="0.35">
      <c r="B54" s="98"/>
      <c r="C54" s="100" t="s">
        <v>224</v>
      </c>
      <c r="D54" s="113">
        <v>34069</v>
      </c>
      <c r="E54" s="113">
        <v>40797</v>
      </c>
      <c r="F54" s="113">
        <v>38330</v>
      </c>
      <c r="G54" s="105">
        <f>G53</f>
        <v>40606.326298433603</v>
      </c>
      <c r="I54" s="216"/>
      <c r="J54" s="217"/>
      <c r="K54" s="217"/>
      <c r="L54" s="218"/>
      <c r="M54" s="138"/>
      <c r="N54" s="216"/>
      <c r="O54" s="217"/>
      <c r="P54" s="217"/>
      <c r="Q54" s="218"/>
      <c r="R54" s="138"/>
      <c r="S54" s="216"/>
      <c r="T54" s="217"/>
      <c r="U54" s="217"/>
      <c r="V54" s="229"/>
      <c r="W54" s="234"/>
    </row>
    <row r="55" spans="2:23" ht="12.75" customHeight="1" x14ac:dyDescent="0.35">
      <c r="B55" s="3" t="s">
        <v>85</v>
      </c>
      <c r="C55" s="33"/>
      <c r="D55" s="103">
        <v>293552</v>
      </c>
      <c r="E55" s="103">
        <v>302669.54000000004</v>
      </c>
      <c r="F55" s="103">
        <v>311786.00579999998</v>
      </c>
      <c r="G55" s="103">
        <f>'BASE - Pre CV-19'!O129</f>
        <v>321185.30402600003</v>
      </c>
      <c r="I55" s="196">
        <f>D55</f>
        <v>293552</v>
      </c>
      <c r="J55" s="197">
        <f t="shared" ref="J55:L55" si="48">E55</f>
        <v>302669.54000000004</v>
      </c>
      <c r="K55" s="197">
        <f t="shared" si="48"/>
        <v>311786.00579999998</v>
      </c>
      <c r="L55" s="198">
        <f t="shared" si="48"/>
        <v>321185.30402600003</v>
      </c>
      <c r="M55" s="138"/>
      <c r="N55" s="196">
        <f>D56</f>
        <v>257938</v>
      </c>
      <c r="O55" s="197">
        <f t="shared" ref="O55:Q55" si="49">E56</f>
        <v>302670</v>
      </c>
      <c r="P55" s="197">
        <f t="shared" si="49"/>
        <v>311786</v>
      </c>
      <c r="Q55" s="198">
        <f t="shared" si="49"/>
        <v>321185.30402600003</v>
      </c>
      <c r="R55" s="138"/>
      <c r="S55" s="196">
        <f>N55-I55</f>
        <v>-35614</v>
      </c>
      <c r="T55" s="197">
        <f t="shared" ref="T55:V55" si="50">O55-J55</f>
        <v>0.4599999999627471</v>
      </c>
      <c r="U55" s="197">
        <f t="shared" si="50"/>
        <v>-5.799999984446913E-3</v>
      </c>
      <c r="V55" s="227">
        <f t="shared" si="50"/>
        <v>0</v>
      </c>
      <c r="W55" s="234"/>
    </row>
    <row r="56" spans="2:23" ht="12.75" customHeight="1" x14ac:dyDescent="0.35">
      <c r="B56" s="98"/>
      <c r="C56" s="100" t="s">
        <v>224</v>
      </c>
      <c r="D56" s="113">
        <v>257938</v>
      </c>
      <c r="E56" s="113">
        <v>302670</v>
      </c>
      <c r="F56" s="113">
        <v>311786</v>
      </c>
      <c r="G56" s="105">
        <f>G55</f>
        <v>321185.30402600003</v>
      </c>
      <c r="I56" s="216"/>
      <c r="J56" s="217"/>
      <c r="K56" s="217"/>
      <c r="L56" s="218"/>
      <c r="M56" s="138"/>
      <c r="N56" s="216"/>
      <c r="O56" s="217"/>
      <c r="P56" s="217"/>
      <c r="Q56" s="218"/>
      <c r="R56" s="138"/>
      <c r="S56" s="216"/>
      <c r="T56" s="217"/>
      <c r="U56" s="217"/>
      <c r="V56" s="229"/>
      <c r="W56" s="234"/>
    </row>
    <row r="57" spans="2:23" ht="12.75" customHeight="1" x14ac:dyDescent="0.35">
      <c r="B57" s="3" t="s">
        <v>98</v>
      </c>
      <c r="C57" s="33"/>
      <c r="D57" s="103">
        <v>94932</v>
      </c>
      <c r="E57" s="103">
        <v>99678.6</v>
      </c>
      <c r="F57" s="103">
        <v>99678.6</v>
      </c>
      <c r="G57" s="103">
        <f>'BASE - Pre CV-19'!O136</f>
        <v>104662.53</v>
      </c>
      <c r="I57" s="196">
        <f>D57</f>
        <v>94932</v>
      </c>
      <c r="J57" s="197">
        <f t="shared" ref="J57:L57" si="51">E57</f>
        <v>99678.6</v>
      </c>
      <c r="K57" s="197">
        <f t="shared" si="51"/>
        <v>99678.6</v>
      </c>
      <c r="L57" s="198">
        <f t="shared" si="51"/>
        <v>104662.53</v>
      </c>
      <c r="M57" s="138"/>
      <c r="N57" s="196">
        <f>D58</f>
        <v>100854</v>
      </c>
      <c r="O57" s="197">
        <f t="shared" ref="O57:Q57" si="52">E58</f>
        <v>99678</v>
      </c>
      <c r="P57" s="197">
        <f t="shared" si="52"/>
        <v>99678</v>
      </c>
      <c r="Q57" s="198">
        <f t="shared" si="52"/>
        <v>104662.53</v>
      </c>
      <c r="R57" s="138"/>
      <c r="S57" s="196">
        <f>N57-I57</f>
        <v>5922</v>
      </c>
      <c r="T57" s="197">
        <f t="shared" ref="T57:V57" si="53">O57-J57</f>
        <v>-0.60000000000582077</v>
      </c>
      <c r="U57" s="197">
        <f t="shared" si="53"/>
        <v>-0.60000000000582077</v>
      </c>
      <c r="V57" s="227">
        <f t="shared" si="53"/>
        <v>0</v>
      </c>
      <c r="W57" s="234"/>
    </row>
    <row r="58" spans="2:23" ht="12.75" customHeight="1" x14ac:dyDescent="0.35">
      <c r="C58" s="100" t="s">
        <v>224</v>
      </c>
      <c r="D58" s="118">
        <v>100854</v>
      </c>
      <c r="E58" s="118">
        <v>99678</v>
      </c>
      <c r="F58" s="118">
        <v>99678</v>
      </c>
      <c r="G58" s="105">
        <f>G57</f>
        <v>104662.53</v>
      </c>
      <c r="I58" s="196"/>
      <c r="J58" s="197"/>
      <c r="K58" s="197"/>
      <c r="L58" s="198"/>
      <c r="M58" s="138"/>
      <c r="N58" s="196"/>
      <c r="O58" s="197"/>
      <c r="P58" s="197"/>
      <c r="Q58" s="198"/>
      <c r="R58" s="138"/>
      <c r="S58" s="196"/>
      <c r="T58" s="197"/>
      <c r="U58" s="197"/>
      <c r="V58" s="227"/>
      <c r="W58" s="234"/>
    </row>
    <row r="59" spans="2:23" ht="12.75" customHeight="1" x14ac:dyDescent="0.35">
      <c r="B59" s="3" t="s">
        <v>102</v>
      </c>
      <c r="C59" s="83"/>
      <c r="D59" s="103">
        <v>154690</v>
      </c>
      <c r="E59" s="103">
        <v>223723.99</v>
      </c>
      <c r="F59" s="103">
        <v>161081.476</v>
      </c>
      <c r="G59" s="103">
        <f>'BASE - Pre CV-19'!O145</f>
        <v>229500</v>
      </c>
      <c r="H59" t="s">
        <v>267</v>
      </c>
      <c r="I59" s="196">
        <f>D59</f>
        <v>154690</v>
      </c>
      <c r="J59" s="197">
        <f t="shared" ref="J59:L59" si="54">E59</f>
        <v>223723.99</v>
      </c>
      <c r="K59" s="197">
        <f t="shared" si="54"/>
        <v>161081.476</v>
      </c>
      <c r="L59" s="198">
        <f t="shared" si="54"/>
        <v>229500</v>
      </c>
      <c r="M59" s="138"/>
      <c r="N59" s="196">
        <f>D60</f>
        <v>97645</v>
      </c>
      <c r="O59" s="197">
        <f t="shared" ref="O59:Q59" si="55">E60</f>
        <v>120811.10699999999</v>
      </c>
      <c r="P59" s="197">
        <f t="shared" si="55"/>
        <v>167792.99249999999</v>
      </c>
      <c r="Q59" s="198">
        <f t="shared" si="55"/>
        <v>229500</v>
      </c>
      <c r="R59" s="138"/>
      <c r="S59" s="196">
        <f>N59-I59</f>
        <v>-57045</v>
      </c>
      <c r="T59" s="197">
        <f t="shared" ref="T59:V59" si="56">O59-J59</f>
        <v>-102912.883</v>
      </c>
      <c r="U59" s="197">
        <f t="shared" si="56"/>
        <v>6711.5164999999979</v>
      </c>
      <c r="V59" s="227">
        <f t="shared" si="56"/>
        <v>0</v>
      </c>
      <c r="W59" s="234" t="s">
        <v>316</v>
      </c>
    </row>
    <row r="60" spans="2:23" ht="12.75" customHeight="1" x14ac:dyDescent="0.35">
      <c r="B60" s="98"/>
      <c r="C60" s="100" t="s">
        <v>224</v>
      </c>
      <c r="D60" s="113">
        <v>97645</v>
      </c>
      <c r="E60" s="113">
        <f>F59*0.75</f>
        <v>120811.10699999999</v>
      </c>
      <c r="F60" s="113">
        <f>E59*0.75</f>
        <v>167792.99249999999</v>
      </c>
      <c r="G60" s="105">
        <f>G59</f>
        <v>229500</v>
      </c>
      <c r="I60" s="216"/>
      <c r="J60" s="217"/>
      <c r="K60" s="217"/>
      <c r="L60" s="218"/>
      <c r="M60" s="138"/>
      <c r="N60" s="216"/>
      <c r="O60" s="217"/>
      <c r="P60" s="217"/>
      <c r="Q60" s="218"/>
      <c r="R60" s="138"/>
      <c r="S60" s="216"/>
      <c r="T60" s="217"/>
      <c r="U60" s="217"/>
      <c r="V60" s="229"/>
      <c r="W60" s="234"/>
    </row>
    <row r="61" spans="2:23" ht="12.75" customHeight="1" x14ac:dyDescent="0.35">
      <c r="B61" s="3" t="s">
        <v>110</v>
      </c>
      <c r="C61" s="84"/>
      <c r="D61" s="106">
        <v>121500</v>
      </c>
      <c r="E61" s="107">
        <v>4500</v>
      </c>
      <c r="F61" s="108"/>
      <c r="I61" s="222"/>
      <c r="J61" s="223"/>
      <c r="K61" s="223"/>
      <c r="L61" s="224"/>
      <c r="M61" s="138"/>
      <c r="N61" s="222"/>
      <c r="O61" s="223"/>
      <c r="P61" s="223"/>
      <c r="Q61" s="224"/>
      <c r="R61" s="138"/>
      <c r="S61" s="222"/>
      <c r="T61" s="223"/>
      <c r="U61" s="223"/>
      <c r="V61" s="231"/>
      <c r="W61" s="234"/>
    </row>
    <row r="62" spans="2:23" ht="12.75" customHeight="1" x14ac:dyDescent="0.35">
      <c r="C62" s="84"/>
      <c r="D62" s="106"/>
      <c r="E62" s="107"/>
      <c r="F62" s="108"/>
      <c r="I62" s="222"/>
      <c r="J62" s="223"/>
      <c r="K62" s="223"/>
      <c r="L62" s="224"/>
      <c r="M62" s="138"/>
      <c r="N62" s="222"/>
      <c r="O62" s="223"/>
      <c r="P62" s="223"/>
      <c r="Q62" s="224"/>
      <c r="R62" s="138"/>
      <c r="S62" s="222"/>
      <c r="T62" s="223"/>
      <c r="U62" s="223"/>
      <c r="V62" s="231"/>
      <c r="W62" s="234"/>
    </row>
    <row r="63" spans="2:23" ht="12.75" customHeight="1" x14ac:dyDescent="0.35">
      <c r="B63" s="3" t="s">
        <v>113</v>
      </c>
      <c r="C63" s="83"/>
      <c r="D63" s="103">
        <v>83000</v>
      </c>
      <c r="E63" s="103">
        <v>0</v>
      </c>
      <c r="F63" s="103">
        <v>87150</v>
      </c>
      <c r="G63" s="103">
        <f>'BASE - Pre CV-19'!O155</f>
        <v>0</v>
      </c>
      <c r="I63" s="196">
        <f>D63</f>
        <v>83000</v>
      </c>
      <c r="J63" s="197">
        <f t="shared" ref="J63:L63" si="57">E63</f>
        <v>0</v>
      </c>
      <c r="K63" s="197">
        <f t="shared" si="57"/>
        <v>87150</v>
      </c>
      <c r="L63" s="198">
        <f t="shared" si="57"/>
        <v>0</v>
      </c>
      <c r="M63" s="138"/>
      <c r="N63" s="196">
        <f>D64</f>
        <v>80453</v>
      </c>
      <c r="O63" s="197">
        <f t="shared" ref="O63:Q63" si="58">E64</f>
        <v>0</v>
      </c>
      <c r="P63" s="197">
        <f t="shared" si="58"/>
        <v>87150</v>
      </c>
      <c r="Q63" s="198">
        <f t="shared" si="58"/>
        <v>0</v>
      </c>
      <c r="R63" s="138"/>
      <c r="S63" s="196">
        <f>N63-I63</f>
        <v>-2547</v>
      </c>
      <c r="T63" s="197">
        <f t="shared" ref="T63:V63" si="59">O63-J63</f>
        <v>0</v>
      </c>
      <c r="U63" s="197">
        <f t="shared" si="59"/>
        <v>0</v>
      </c>
      <c r="V63" s="227">
        <f t="shared" si="59"/>
        <v>0</v>
      </c>
      <c r="W63" s="234"/>
    </row>
    <row r="64" spans="2:23" ht="12.75" customHeight="1" x14ac:dyDescent="0.35">
      <c r="C64" s="100" t="s">
        <v>224</v>
      </c>
      <c r="D64" s="105">
        <v>80453</v>
      </c>
      <c r="E64" s="105"/>
      <c r="F64" s="105">
        <v>87150</v>
      </c>
      <c r="G64" s="105">
        <f>G63</f>
        <v>0</v>
      </c>
      <c r="I64" s="216"/>
      <c r="J64" s="217"/>
      <c r="K64" s="217"/>
      <c r="L64" s="218"/>
      <c r="M64" s="138"/>
      <c r="N64" s="216"/>
      <c r="O64" s="217"/>
      <c r="P64" s="217"/>
      <c r="Q64" s="218"/>
      <c r="R64" s="138"/>
      <c r="S64" s="216"/>
      <c r="T64" s="217"/>
      <c r="U64" s="217"/>
      <c r="V64" s="229"/>
      <c r="W64" s="234"/>
    </row>
    <row r="65" spans="2:23" ht="12.75" customHeight="1" x14ac:dyDescent="0.35">
      <c r="B65" s="3" t="s">
        <v>115</v>
      </c>
      <c r="C65" s="83"/>
      <c r="D65" s="103">
        <v>0</v>
      </c>
      <c r="E65" s="103">
        <v>86111.3</v>
      </c>
      <c r="F65" s="103">
        <v>0</v>
      </c>
      <c r="G65" s="103">
        <f>'BASE - Pre CV-19'!O161</f>
        <v>86442.010000000009</v>
      </c>
      <c r="I65" s="196">
        <f>D65</f>
        <v>0</v>
      </c>
      <c r="J65" s="197">
        <f t="shared" ref="J65:L65" si="60">E65</f>
        <v>86111.3</v>
      </c>
      <c r="K65" s="197">
        <f t="shared" si="60"/>
        <v>0</v>
      </c>
      <c r="L65" s="198">
        <f t="shared" si="60"/>
        <v>86442.010000000009</v>
      </c>
      <c r="M65" s="138"/>
      <c r="N65" s="196">
        <f>D66</f>
        <v>0</v>
      </c>
      <c r="O65" s="197">
        <f t="shared" ref="O65:Q65" si="61">E66</f>
        <v>0</v>
      </c>
      <c r="P65" s="197">
        <f t="shared" si="61"/>
        <v>86111</v>
      </c>
      <c r="Q65" s="198">
        <f t="shared" si="61"/>
        <v>86442.010000000009</v>
      </c>
      <c r="R65" s="138"/>
      <c r="S65" s="196">
        <f>N65-I65</f>
        <v>0</v>
      </c>
      <c r="T65" s="197">
        <f t="shared" ref="T65:V65" si="62">O65-J65</f>
        <v>-86111.3</v>
      </c>
      <c r="U65" s="197">
        <f t="shared" si="62"/>
        <v>86111</v>
      </c>
      <c r="V65" s="227">
        <f t="shared" si="62"/>
        <v>0</v>
      </c>
      <c r="W65" s="234"/>
    </row>
    <row r="66" spans="2:23" ht="12.75" customHeight="1" x14ac:dyDescent="0.35">
      <c r="C66" s="100" t="s">
        <v>224</v>
      </c>
      <c r="D66" s="105"/>
      <c r="E66" s="105">
        <v>0</v>
      </c>
      <c r="F66" s="105">
        <v>86111</v>
      </c>
      <c r="G66" s="105">
        <f>G65</f>
        <v>86442.010000000009</v>
      </c>
      <c r="I66" s="216"/>
      <c r="J66" s="217"/>
      <c r="K66" s="217"/>
      <c r="L66" s="218"/>
      <c r="M66" s="138"/>
      <c r="N66" s="216"/>
      <c r="O66" s="217"/>
      <c r="P66" s="217"/>
      <c r="Q66" s="218"/>
      <c r="R66" s="138"/>
      <c r="S66" s="216"/>
      <c r="T66" s="217"/>
      <c r="U66" s="217"/>
      <c r="V66" s="229"/>
      <c r="W66" s="234"/>
    </row>
    <row r="67" spans="2:23" ht="12.75" customHeight="1" x14ac:dyDescent="0.35">
      <c r="B67" s="3" t="s">
        <v>120</v>
      </c>
      <c r="C67" s="83"/>
      <c r="D67" s="103">
        <v>0</v>
      </c>
      <c r="E67" s="103">
        <v>140700</v>
      </c>
      <c r="F67" s="103">
        <v>0</v>
      </c>
      <c r="G67" s="103">
        <f>'BASE - Pre CV-19'!O165</f>
        <v>147735</v>
      </c>
      <c r="I67" s="196">
        <f>D67</f>
        <v>0</v>
      </c>
      <c r="J67" s="197">
        <f t="shared" ref="J67:L67" si="63">E67</f>
        <v>140700</v>
      </c>
      <c r="K67" s="197">
        <f t="shared" si="63"/>
        <v>0</v>
      </c>
      <c r="L67" s="198">
        <f t="shared" si="63"/>
        <v>147735</v>
      </c>
      <c r="M67" s="138"/>
      <c r="N67" s="196">
        <f>D68</f>
        <v>0</v>
      </c>
      <c r="O67" s="197">
        <f t="shared" ref="O67:Q67" si="64">E68</f>
        <v>140700</v>
      </c>
      <c r="P67" s="197">
        <f t="shared" si="64"/>
        <v>0</v>
      </c>
      <c r="Q67" s="198">
        <f t="shared" si="64"/>
        <v>147735</v>
      </c>
      <c r="R67" s="138"/>
      <c r="S67" s="196">
        <f>N67-I67</f>
        <v>0</v>
      </c>
      <c r="T67" s="197">
        <f t="shared" ref="T67:V67" si="65">O67-J67</f>
        <v>0</v>
      </c>
      <c r="U67" s="197">
        <f t="shared" si="65"/>
        <v>0</v>
      </c>
      <c r="V67" s="227">
        <f t="shared" si="65"/>
        <v>0</v>
      </c>
      <c r="W67" s="234"/>
    </row>
    <row r="68" spans="2:23" ht="12.75" customHeight="1" x14ac:dyDescent="0.35">
      <c r="C68" s="100" t="s">
        <v>224</v>
      </c>
      <c r="D68" s="105"/>
      <c r="E68" s="105">
        <v>140700</v>
      </c>
      <c r="F68" s="105"/>
      <c r="G68" s="105">
        <f>G67</f>
        <v>147735</v>
      </c>
      <c r="I68" s="216"/>
      <c r="J68" s="217"/>
      <c r="K68" s="217"/>
      <c r="L68" s="218"/>
      <c r="M68" s="138"/>
      <c r="N68" s="216"/>
      <c r="O68" s="217"/>
      <c r="P68" s="217"/>
      <c r="Q68" s="218"/>
      <c r="R68" s="138"/>
      <c r="S68" s="216"/>
      <c r="T68" s="217"/>
      <c r="U68" s="217"/>
      <c r="V68" s="229"/>
      <c r="W68" s="234"/>
    </row>
    <row r="69" spans="2:23" ht="12.75" customHeight="1" x14ac:dyDescent="0.35">
      <c r="B69" s="3" t="s">
        <v>122</v>
      </c>
      <c r="C69" s="83"/>
      <c r="D69" s="103">
        <v>10000</v>
      </c>
      <c r="E69" s="103">
        <v>10000</v>
      </c>
      <c r="F69" s="103">
        <v>10000</v>
      </c>
      <c r="G69" s="103">
        <f>'BASE - Pre CV-19'!O169</f>
        <v>16000</v>
      </c>
      <c r="I69" s="196">
        <f>D69</f>
        <v>10000</v>
      </c>
      <c r="J69" s="197">
        <f t="shared" ref="J69:L69" si="66">E69</f>
        <v>10000</v>
      </c>
      <c r="K69" s="197">
        <f t="shared" si="66"/>
        <v>10000</v>
      </c>
      <c r="L69" s="198">
        <f t="shared" si="66"/>
        <v>16000</v>
      </c>
      <c r="M69" s="138"/>
      <c r="N69" s="196">
        <f>D70</f>
        <v>769</v>
      </c>
      <c r="O69" s="197">
        <f t="shared" ref="O69:Q69" si="67">E70</f>
        <v>10000</v>
      </c>
      <c r="P69" s="197">
        <f t="shared" si="67"/>
        <v>10000</v>
      </c>
      <c r="Q69" s="198">
        <f t="shared" si="67"/>
        <v>16000</v>
      </c>
      <c r="R69" s="138"/>
      <c r="S69" s="196">
        <f>N69-I69</f>
        <v>-9231</v>
      </c>
      <c r="T69" s="197">
        <f t="shared" ref="T69:V69" si="68">O69-J69</f>
        <v>0</v>
      </c>
      <c r="U69" s="197">
        <f t="shared" si="68"/>
        <v>0</v>
      </c>
      <c r="V69" s="227">
        <f t="shared" si="68"/>
        <v>0</v>
      </c>
      <c r="W69" s="234"/>
    </row>
    <row r="70" spans="2:23" ht="12.75" customHeight="1" x14ac:dyDescent="0.35">
      <c r="B70" s="98"/>
      <c r="C70" s="100" t="s">
        <v>224</v>
      </c>
      <c r="D70" s="113">
        <v>769</v>
      </c>
      <c r="E70" s="113">
        <v>10000</v>
      </c>
      <c r="F70" s="113">
        <v>10000</v>
      </c>
      <c r="G70" s="105">
        <f>G69</f>
        <v>16000</v>
      </c>
      <c r="I70" s="216"/>
      <c r="J70" s="217"/>
      <c r="K70" s="217"/>
      <c r="L70" s="218"/>
      <c r="M70" s="138"/>
      <c r="N70" s="216"/>
      <c r="O70" s="217"/>
      <c r="P70" s="217"/>
      <c r="Q70" s="218"/>
      <c r="R70" s="138"/>
      <c r="S70" s="216"/>
      <c r="T70" s="217"/>
      <c r="U70" s="217"/>
      <c r="V70" s="229"/>
      <c r="W70" s="234"/>
    </row>
    <row r="71" spans="2:23" ht="12.75" customHeight="1" thickBot="1" x14ac:dyDescent="0.4">
      <c r="B71" s="6" t="s">
        <v>125</v>
      </c>
      <c r="C71" s="85"/>
      <c r="D71" s="103">
        <f>D69+D67+D65+D63+D61</f>
        <v>214500</v>
      </c>
      <c r="E71" s="103">
        <f>E69+E67+E65+E63+E61</f>
        <v>241311.3</v>
      </c>
      <c r="F71" s="103">
        <f>F69+F67+F65+F63</f>
        <v>97150</v>
      </c>
      <c r="G71" s="103">
        <f>'BASE - Pre CV-19'!O171</f>
        <v>253677.01</v>
      </c>
      <c r="I71" s="196">
        <f>D71</f>
        <v>214500</v>
      </c>
      <c r="J71" s="197">
        <f t="shared" ref="J71:L71" si="69">E71</f>
        <v>241311.3</v>
      </c>
      <c r="K71" s="197">
        <f t="shared" si="69"/>
        <v>97150</v>
      </c>
      <c r="L71" s="198">
        <f t="shared" si="69"/>
        <v>253677.01</v>
      </c>
      <c r="M71" s="138"/>
      <c r="N71" s="196">
        <f>D72</f>
        <v>81278.22</v>
      </c>
      <c r="O71" s="197">
        <f t="shared" ref="O71:Q71" si="70">E72</f>
        <v>155200</v>
      </c>
      <c r="P71" s="197">
        <f t="shared" si="70"/>
        <v>183261</v>
      </c>
      <c r="Q71" s="198">
        <f t="shared" si="70"/>
        <v>253677.01</v>
      </c>
      <c r="R71" s="138"/>
      <c r="S71" s="196">
        <f>N71-I71</f>
        <v>-133221.78</v>
      </c>
      <c r="T71" s="197">
        <f t="shared" ref="T71:V71" si="71">O71-J71</f>
        <v>-86111.299999999988</v>
      </c>
      <c r="U71" s="197">
        <f t="shared" si="71"/>
        <v>86111</v>
      </c>
      <c r="V71" s="227">
        <f t="shared" si="71"/>
        <v>0</v>
      </c>
      <c r="W71" s="234" t="s">
        <v>302</v>
      </c>
    </row>
    <row r="72" spans="2:23" ht="12.75" customHeight="1" thickTop="1" x14ac:dyDescent="0.35">
      <c r="B72" s="98"/>
      <c r="C72" s="100" t="s">
        <v>224</v>
      </c>
      <c r="D72" s="105">
        <f>D70+D68+D66+D64+56.22</f>
        <v>81278.22</v>
      </c>
      <c r="E72" s="105">
        <f>E70+E68+E66+E64+4500</f>
        <v>155200</v>
      </c>
      <c r="F72" s="105">
        <f>F70+F68+F66+F64</f>
        <v>183261</v>
      </c>
      <c r="G72" s="105">
        <f>G71</f>
        <v>253677.01</v>
      </c>
      <c r="I72" s="216"/>
      <c r="J72" s="217"/>
      <c r="K72" s="217"/>
      <c r="L72" s="218"/>
      <c r="M72" s="138"/>
      <c r="N72" s="216"/>
      <c r="O72" s="217"/>
      <c r="P72" s="217"/>
      <c r="Q72" s="218"/>
      <c r="R72" s="138"/>
      <c r="S72" s="216"/>
      <c r="T72" s="217"/>
      <c r="U72" s="217"/>
      <c r="V72" s="229"/>
      <c r="W72" s="234"/>
    </row>
    <row r="73" spans="2:23" ht="12.75" customHeight="1" thickBot="1" x14ac:dyDescent="0.4">
      <c r="B73" s="6" t="s">
        <v>126</v>
      </c>
      <c r="C73" s="85"/>
      <c r="D73" s="103">
        <f>D71+D59+D57+D55+D53+D51</f>
        <v>859765.56579999998</v>
      </c>
      <c r="E73" s="103">
        <f>E71+E59+E57+E55+E53+E51</f>
        <v>970039.16448400007</v>
      </c>
      <c r="F73" s="103">
        <f>F71+F59+F57+F55+F53+F51</f>
        <v>777015.14159432007</v>
      </c>
      <c r="G73" s="103">
        <f>'BASE - Pre CV-19'!O173</f>
        <v>1016616.2959244336</v>
      </c>
      <c r="H73">
        <f>G71+G59+G57+G55+G53+G51</f>
        <v>1016616.2959244336</v>
      </c>
      <c r="I73" s="196">
        <f>D73</f>
        <v>859765.56579999998</v>
      </c>
      <c r="J73" s="197">
        <f t="shared" ref="J73:L73" si="72">E73</f>
        <v>970039.16448400007</v>
      </c>
      <c r="K73" s="197">
        <f t="shared" si="72"/>
        <v>777015.14159432007</v>
      </c>
      <c r="L73" s="198">
        <f t="shared" si="72"/>
        <v>1016616.2959244336</v>
      </c>
      <c r="M73" s="138"/>
      <c r="N73" s="196">
        <f>D74</f>
        <v>723843.22</v>
      </c>
      <c r="O73" s="197">
        <f t="shared" ref="O73:Q73" si="73">E74</f>
        <v>784990.10699999996</v>
      </c>
      <c r="P73" s="197">
        <f t="shared" si="73"/>
        <v>869837.99249999993</v>
      </c>
      <c r="Q73" s="198">
        <f t="shared" si="73"/>
        <v>1016616.2959244336</v>
      </c>
      <c r="R73" s="138"/>
      <c r="S73" s="196">
        <f>N73-I73</f>
        <v>-135922.34580000001</v>
      </c>
      <c r="T73" s="197">
        <f t="shared" ref="T73:V73" si="74">O73-J73</f>
        <v>-185049.05748400011</v>
      </c>
      <c r="U73" s="197">
        <f t="shared" si="74"/>
        <v>92822.850905679865</v>
      </c>
      <c r="V73" s="227">
        <f t="shared" si="74"/>
        <v>0</v>
      </c>
      <c r="W73" s="234"/>
    </row>
    <row r="74" spans="2:23" ht="12.75" customHeight="1" thickTop="1" x14ac:dyDescent="0.35">
      <c r="B74" s="98"/>
      <c r="C74" s="100" t="s">
        <v>224</v>
      </c>
      <c r="D74" s="113">
        <f>D72+D60+D56+D54+D52+D50+D58</f>
        <v>723843.22</v>
      </c>
      <c r="E74" s="113">
        <f>E72+E60+E56+E54+E52+E50+E58</f>
        <v>784990.10699999996</v>
      </c>
      <c r="F74" s="113">
        <f>F72+F60+F56+F54+F52+F50+F58</f>
        <v>869837.99249999993</v>
      </c>
      <c r="G74" s="105">
        <f>G73</f>
        <v>1016616.2959244336</v>
      </c>
      <c r="I74" s="216"/>
      <c r="J74" s="217"/>
      <c r="K74" s="217"/>
      <c r="L74" s="218"/>
      <c r="M74" s="138"/>
      <c r="N74" s="216"/>
      <c r="O74" s="217"/>
      <c r="P74" s="217"/>
      <c r="Q74" s="218"/>
      <c r="R74" s="138"/>
      <c r="S74" s="216"/>
      <c r="T74" s="217"/>
      <c r="U74" s="217"/>
      <c r="V74" s="229"/>
      <c r="W74" s="234"/>
    </row>
    <row r="75" spans="2:23" ht="12.75" customHeight="1" thickBot="1" x14ac:dyDescent="0.4">
      <c r="B75" s="6" t="s">
        <v>168</v>
      </c>
      <c r="C75" s="85" t="s">
        <v>227</v>
      </c>
      <c r="D75" s="103">
        <f>D45-D73</f>
        <v>20146.91165454546</v>
      </c>
      <c r="E75" s="103">
        <f>E45-E73</f>
        <v>28002.241343272734</v>
      </c>
      <c r="F75" s="103">
        <f>F45-F73</f>
        <v>24696.242024316452</v>
      </c>
      <c r="G75" s="103">
        <f>G45-G73</f>
        <v>17632.107268206193</v>
      </c>
      <c r="I75" s="199">
        <f>D75</f>
        <v>20146.91165454546</v>
      </c>
      <c r="J75" s="200">
        <f t="shared" ref="J75:L75" si="75">E75</f>
        <v>28002.241343272734</v>
      </c>
      <c r="K75" s="200">
        <f t="shared" si="75"/>
        <v>24696.242024316452</v>
      </c>
      <c r="L75" s="201">
        <f t="shared" si="75"/>
        <v>17632.107268206193</v>
      </c>
      <c r="M75" s="138"/>
      <c r="N75" s="199">
        <f>D76</f>
        <v>68454.780000000028</v>
      </c>
      <c r="O75" s="200">
        <f t="shared" ref="O75:Q75" si="76">E76</f>
        <v>77316.89300000004</v>
      </c>
      <c r="P75" s="200">
        <f t="shared" si="76"/>
        <v>51896.607500000158</v>
      </c>
      <c r="Q75" s="201">
        <f t="shared" si="76"/>
        <v>17632.107268206193</v>
      </c>
      <c r="R75" s="138"/>
      <c r="S75" s="199">
        <f>N75-I75</f>
        <v>48307.868345454568</v>
      </c>
      <c r="T75" s="200">
        <f t="shared" ref="T75:V75" si="77">O75-J75</f>
        <v>49314.651656727307</v>
      </c>
      <c r="U75" s="200">
        <f t="shared" si="77"/>
        <v>27200.365475683706</v>
      </c>
      <c r="V75" s="232">
        <f t="shared" si="77"/>
        <v>0</v>
      </c>
      <c r="W75" s="235"/>
    </row>
    <row r="76" spans="2:23" ht="12.75" customHeight="1" thickTop="1" x14ac:dyDescent="0.35">
      <c r="B76" s="98"/>
      <c r="C76" s="100" t="s">
        <v>224</v>
      </c>
      <c r="D76" s="113">
        <f>D46-D74</f>
        <v>68454.780000000028</v>
      </c>
      <c r="E76" s="113">
        <f>E46-E74</f>
        <v>77316.89300000004</v>
      </c>
      <c r="F76" s="113">
        <f>F46-F74</f>
        <v>51896.607500000158</v>
      </c>
      <c r="G76" s="113">
        <f>G46-G74</f>
        <v>17632.107268206193</v>
      </c>
      <c r="I76" s="138"/>
      <c r="J76" s="138"/>
      <c r="K76" s="138"/>
      <c r="L76" s="138"/>
      <c r="M76" s="138"/>
      <c r="N76" s="138"/>
      <c r="O76" s="138"/>
      <c r="P76" s="138"/>
      <c r="Q76" s="138"/>
      <c r="R76" s="138"/>
      <c r="S76" s="138"/>
      <c r="T76" s="138"/>
      <c r="U76" s="138"/>
      <c r="V76" s="138"/>
    </row>
    <row r="77" spans="2:23" ht="12.75" customHeight="1" x14ac:dyDescent="0.35">
      <c r="I77" s="138"/>
      <c r="J77" s="138"/>
      <c r="K77" s="138"/>
      <c r="L77" s="138"/>
      <c r="M77" s="138"/>
      <c r="N77" s="138"/>
      <c r="O77" s="138"/>
      <c r="P77" s="138"/>
      <c r="Q77" s="138"/>
      <c r="R77" s="138"/>
      <c r="S77" s="138"/>
      <c r="T77" s="138"/>
      <c r="U77" s="138"/>
      <c r="V77" s="138"/>
    </row>
    <row r="78" spans="2:23" ht="16.5" customHeight="1" x14ac:dyDescent="0.35"/>
    <row r="79" spans="2:23" ht="12.75" customHeight="1" x14ac:dyDescent="0.35">
      <c r="C79" s="78"/>
      <c r="D79" s="47">
        <v>43983</v>
      </c>
      <c r="E79" s="46">
        <v>44348</v>
      </c>
      <c r="F79" s="46">
        <v>44713</v>
      </c>
      <c r="G79" s="46">
        <v>45078</v>
      </c>
    </row>
    <row r="80" spans="2:23" ht="12.75" customHeight="1" x14ac:dyDescent="0.35">
      <c r="B80" s="31"/>
      <c r="C80" s="79"/>
      <c r="D80" s="9" t="s">
        <v>132</v>
      </c>
      <c r="E80" s="44" t="s">
        <v>132</v>
      </c>
      <c r="F80" s="9" t="s">
        <v>132</v>
      </c>
      <c r="G80" s="9" t="s">
        <v>132</v>
      </c>
    </row>
    <row r="81" spans="2:5" ht="27.75" customHeight="1" x14ac:dyDescent="0.35">
      <c r="B81" s="26"/>
      <c r="D81" s="31"/>
      <c r="E81" s="31"/>
    </row>
    <row r="82" spans="2:5" ht="12.75" customHeight="1" x14ac:dyDescent="0.35">
      <c r="B82" s="54"/>
      <c r="D82" s="31"/>
      <c r="E82" s="31"/>
    </row>
    <row r="83" spans="2:5" ht="12.75" customHeight="1" x14ac:dyDescent="0.35">
      <c r="B83" s="54"/>
      <c r="D83" s="31"/>
      <c r="E83" s="31"/>
    </row>
    <row r="84" spans="2:5" ht="12.75" customHeight="1" x14ac:dyDescent="0.35">
      <c r="B84" s="55"/>
      <c r="D84" s="31"/>
      <c r="E84" s="31"/>
    </row>
    <row r="85" spans="2:5" ht="12.75" customHeight="1" x14ac:dyDescent="0.35">
      <c r="B85" s="54"/>
      <c r="D85" s="31"/>
      <c r="E85" s="31"/>
    </row>
    <row r="86" spans="2:5" ht="12.75" customHeight="1" x14ac:dyDescent="0.35">
      <c r="B86" s="54"/>
      <c r="D86" s="31"/>
      <c r="E86" s="31"/>
    </row>
    <row r="87" spans="2:5" ht="12.75" customHeight="1" x14ac:dyDescent="0.35">
      <c r="B87" s="55"/>
      <c r="D87" s="31"/>
      <c r="E87" s="31"/>
    </row>
    <row r="88" spans="2:5" ht="12.75" customHeight="1" x14ac:dyDescent="0.35">
      <c r="B88" s="55"/>
      <c r="D88" s="31"/>
      <c r="E88" s="31"/>
    </row>
    <row r="89" spans="2:5" ht="12.75" customHeight="1" x14ac:dyDescent="0.35">
      <c r="B89" s="54"/>
      <c r="D89" s="31"/>
      <c r="E89" s="31"/>
    </row>
    <row r="90" spans="2:5" ht="12.75" customHeight="1" x14ac:dyDescent="0.35">
      <c r="B90" s="54"/>
      <c r="D90" s="31"/>
      <c r="E90" s="31"/>
    </row>
    <row r="91" spans="2:5" ht="12.75" customHeight="1" x14ac:dyDescent="0.35">
      <c r="B91" s="54"/>
      <c r="D91" s="31"/>
      <c r="E91" s="31"/>
    </row>
    <row r="92" spans="2:5" ht="12.75" customHeight="1" x14ac:dyDescent="0.35">
      <c r="B92" s="54"/>
      <c r="D92" s="31"/>
      <c r="E92" s="31"/>
    </row>
    <row r="93" spans="2:5" ht="12.75" customHeight="1" x14ac:dyDescent="0.35">
      <c r="B93" s="54"/>
      <c r="D93" s="31"/>
      <c r="E93" s="31"/>
    </row>
    <row r="94" spans="2:5" ht="12.75" customHeight="1" x14ac:dyDescent="0.35">
      <c r="B94" s="54"/>
      <c r="D94" s="31"/>
      <c r="E94" s="31"/>
    </row>
    <row r="95" spans="2:5" ht="12.75" customHeight="1" x14ac:dyDescent="0.35">
      <c r="B95" s="55"/>
      <c r="D95" s="31"/>
      <c r="E95" s="31"/>
    </row>
    <row r="96" spans="2:5" ht="12.75" customHeight="1" x14ac:dyDescent="0.35">
      <c r="B96" s="54"/>
      <c r="D96" s="31"/>
      <c r="E96" s="31"/>
    </row>
    <row r="97" spans="2:5" ht="12.75" customHeight="1" x14ac:dyDescent="0.35">
      <c r="B97" s="55"/>
      <c r="D97" s="31"/>
      <c r="E97" s="31"/>
    </row>
    <row r="98" spans="2:5" ht="12.75" customHeight="1" x14ac:dyDescent="0.35">
      <c r="B98" s="55"/>
      <c r="D98" s="31"/>
      <c r="E98" s="31"/>
    </row>
    <row r="99" spans="2:5" ht="12.75" customHeight="1" x14ac:dyDescent="0.35">
      <c r="B99" s="54"/>
      <c r="D99" s="31"/>
      <c r="E99" s="31"/>
    </row>
    <row r="100" spans="2:5" ht="12.75" customHeight="1" x14ac:dyDescent="0.35">
      <c r="B100" s="55"/>
      <c r="D100" s="31"/>
      <c r="E100" s="31"/>
    </row>
    <row r="101" spans="2:5" ht="12.75" customHeight="1" x14ac:dyDescent="0.35">
      <c r="B101" s="54"/>
      <c r="D101" s="31"/>
      <c r="E101" s="31"/>
    </row>
    <row r="102" spans="2:5" ht="12.75" customHeight="1" x14ac:dyDescent="0.35">
      <c r="B102" s="54"/>
      <c r="D102" s="31"/>
      <c r="E102" s="31"/>
    </row>
    <row r="103" spans="2:5" ht="12.75" customHeight="1" x14ac:dyDescent="0.35">
      <c r="B103" s="54"/>
      <c r="D103" s="31"/>
      <c r="E103" s="31"/>
    </row>
    <row r="104" spans="2:5" ht="12.75" customHeight="1" x14ac:dyDescent="0.35">
      <c r="B104" s="54"/>
      <c r="D104" s="31"/>
      <c r="E104" s="31"/>
    </row>
    <row r="105" spans="2:5" ht="12.75" customHeight="1" x14ac:dyDescent="0.35">
      <c r="B105" s="54"/>
      <c r="D105" s="31"/>
      <c r="E105" s="31"/>
    </row>
    <row r="106" spans="2:5" ht="12.75" customHeight="1" x14ac:dyDescent="0.35">
      <c r="B106" s="54"/>
      <c r="D106" s="31"/>
      <c r="E106" s="31"/>
    </row>
    <row r="107" spans="2:5" ht="12.75" customHeight="1" x14ac:dyDescent="0.35">
      <c r="B107" s="54"/>
      <c r="D107" s="31"/>
      <c r="E107" s="31"/>
    </row>
    <row r="108" spans="2:5" ht="12.75" customHeight="1" x14ac:dyDescent="0.35">
      <c r="B108" s="54"/>
      <c r="D108" s="31"/>
      <c r="E108" s="31"/>
    </row>
    <row r="109" spans="2:5" ht="12.75" customHeight="1" x14ac:dyDescent="0.35">
      <c r="B109" s="54"/>
      <c r="D109" s="31"/>
      <c r="E109" s="31"/>
    </row>
    <row r="110" spans="2:5" ht="12.75" customHeight="1" x14ac:dyDescent="0.35">
      <c r="B110" s="54"/>
      <c r="D110" s="31"/>
      <c r="E110" s="31"/>
    </row>
    <row r="111" spans="2:5" ht="12.75" customHeight="1" x14ac:dyDescent="0.35">
      <c r="B111" s="54"/>
      <c r="D111" s="31"/>
      <c r="E111" s="31"/>
    </row>
    <row r="112" spans="2:5" ht="12.75" customHeight="1" x14ac:dyDescent="0.35">
      <c r="B112" s="54"/>
      <c r="D112" s="31"/>
      <c r="E112" s="31"/>
    </row>
    <row r="113" spans="2:5" ht="12.75" customHeight="1" x14ac:dyDescent="0.35">
      <c r="B113" s="54"/>
      <c r="D113" s="31"/>
      <c r="E113" s="31"/>
    </row>
    <row r="114" spans="2:5" ht="12.75" customHeight="1" x14ac:dyDescent="0.35">
      <c r="B114" s="31"/>
      <c r="D114" s="31"/>
      <c r="E114" s="31"/>
    </row>
    <row r="115" spans="2:5" ht="12.75" customHeight="1" x14ac:dyDescent="0.35">
      <c r="B115" s="31"/>
      <c r="D115" s="31"/>
      <c r="E115" s="31"/>
    </row>
    <row r="116" spans="2:5" ht="12.75" customHeight="1" x14ac:dyDescent="0.35">
      <c r="B116" s="31"/>
      <c r="D116" s="31"/>
      <c r="E116" s="31"/>
    </row>
    <row r="117" spans="2:5" ht="12.75" customHeight="1" x14ac:dyDescent="0.35">
      <c r="B117" s="31"/>
      <c r="D117" s="31"/>
      <c r="E117" s="31"/>
    </row>
    <row r="118" spans="2:5" ht="12.75" customHeight="1" x14ac:dyDescent="0.35">
      <c r="B118" s="31"/>
      <c r="D118" s="31"/>
      <c r="E118" s="31"/>
    </row>
    <row r="119" spans="2:5" ht="12.75" customHeight="1" x14ac:dyDescent="0.35">
      <c r="B119" s="31"/>
      <c r="D119" s="31"/>
      <c r="E119" s="31"/>
    </row>
    <row r="120" spans="2:5" ht="12.75" customHeight="1" x14ac:dyDescent="0.35">
      <c r="B120" s="31"/>
      <c r="D120" s="31"/>
      <c r="E120" s="31"/>
    </row>
    <row r="121" spans="2:5" ht="12.75" customHeight="1" x14ac:dyDescent="0.35">
      <c r="B121" s="31"/>
      <c r="D121" s="31"/>
      <c r="E121" s="31"/>
    </row>
    <row r="122" spans="2:5" ht="12.75" customHeight="1" x14ac:dyDescent="0.35">
      <c r="B122" s="31"/>
      <c r="D122" s="31"/>
      <c r="E122" s="31"/>
    </row>
    <row r="123" spans="2:5" ht="12.75" customHeight="1" x14ac:dyDescent="0.35">
      <c r="B123" s="31"/>
      <c r="D123" s="31"/>
      <c r="E123" s="31"/>
    </row>
    <row r="124" spans="2:5" ht="12.75" customHeight="1" x14ac:dyDescent="0.35">
      <c r="B124" s="31"/>
      <c r="D124" s="31"/>
      <c r="E124" s="31"/>
    </row>
    <row r="125" spans="2:5" ht="12.75" customHeight="1" x14ac:dyDescent="0.35">
      <c r="B125" s="31"/>
      <c r="D125" s="31"/>
      <c r="E125" s="31"/>
    </row>
    <row r="126" spans="2:5" ht="12.75" customHeight="1" x14ac:dyDescent="0.35">
      <c r="B126" s="31"/>
      <c r="D126" s="31"/>
      <c r="E126" s="31"/>
    </row>
    <row r="127" spans="2:5" ht="12.75" customHeight="1" x14ac:dyDescent="0.35">
      <c r="B127" s="31"/>
      <c r="D127" s="31"/>
      <c r="E127" s="31"/>
    </row>
    <row r="128" spans="2:5" ht="12.75" customHeight="1" x14ac:dyDescent="0.35">
      <c r="B128" s="31"/>
      <c r="D128" s="31"/>
      <c r="E128" s="31"/>
    </row>
    <row r="129" spans="2:5" ht="12.75" customHeight="1" x14ac:dyDescent="0.35">
      <c r="B129" s="31"/>
      <c r="D129" s="31"/>
      <c r="E129" s="31"/>
    </row>
    <row r="130" spans="2:5" ht="12.75" customHeight="1" x14ac:dyDescent="0.35">
      <c r="B130" s="31"/>
      <c r="D130" s="31"/>
      <c r="E130" s="31"/>
    </row>
    <row r="131" spans="2:5" ht="12.75" customHeight="1" x14ac:dyDescent="0.35">
      <c r="B131" s="31"/>
      <c r="D131" s="31"/>
      <c r="E131" s="31"/>
    </row>
    <row r="132" spans="2:5" ht="12.75" customHeight="1" x14ac:dyDescent="0.35">
      <c r="B132" s="31"/>
      <c r="D132" s="31"/>
      <c r="E132" s="31"/>
    </row>
    <row r="133" spans="2:5" ht="12.75" customHeight="1" x14ac:dyDescent="0.35">
      <c r="B133" s="31"/>
      <c r="D133" s="31"/>
      <c r="E133" s="31"/>
    </row>
    <row r="134" spans="2:5" ht="12.75" customHeight="1" x14ac:dyDescent="0.35">
      <c r="B134" s="31"/>
      <c r="D134" s="31"/>
      <c r="E134" s="31"/>
    </row>
    <row r="135" spans="2:5" ht="12.75" customHeight="1" x14ac:dyDescent="0.35">
      <c r="B135" s="31"/>
      <c r="D135" s="31"/>
      <c r="E135" s="31"/>
    </row>
    <row r="136" spans="2:5" ht="12.75" customHeight="1" x14ac:dyDescent="0.35">
      <c r="B136" s="31"/>
      <c r="D136" s="31"/>
      <c r="E136" s="31"/>
    </row>
    <row r="137" spans="2:5" ht="12.75" customHeight="1" x14ac:dyDescent="0.35">
      <c r="B137" s="31"/>
      <c r="D137" s="31"/>
      <c r="E137" s="31"/>
    </row>
    <row r="138" spans="2:5" ht="12.75" customHeight="1" x14ac:dyDescent="0.35">
      <c r="B138" s="31"/>
      <c r="D138" s="31"/>
      <c r="E138" s="31"/>
    </row>
    <row r="139" spans="2:5" ht="12.75" customHeight="1" x14ac:dyDescent="0.35">
      <c r="B139" s="31"/>
      <c r="D139" s="31"/>
      <c r="E139" s="31"/>
    </row>
    <row r="140" spans="2:5" ht="12.75" customHeight="1" x14ac:dyDescent="0.35">
      <c r="B140" s="31"/>
      <c r="D140" s="31"/>
      <c r="E140" s="31"/>
    </row>
    <row r="141" spans="2:5" ht="12.75" customHeight="1" x14ac:dyDescent="0.35">
      <c r="B141" s="31"/>
      <c r="D141" s="31"/>
      <c r="E141" s="31"/>
    </row>
    <row r="142" spans="2:5" ht="12.75" customHeight="1" x14ac:dyDescent="0.35">
      <c r="B142" s="31"/>
      <c r="D142" s="31"/>
      <c r="E142" s="31"/>
    </row>
    <row r="143" spans="2:5" ht="12.75" customHeight="1" x14ac:dyDescent="0.35">
      <c r="B143" s="31"/>
      <c r="D143" s="31"/>
      <c r="E143" s="31"/>
    </row>
    <row r="144" spans="2:5" ht="12.75" customHeight="1" x14ac:dyDescent="0.35">
      <c r="B144" s="31"/>
      <c r="D144" s="31"/>
      <c r="E144" s="31"/>
    </row>
    <row r="145" spans="2:5" ht="12.75" customHeight="1" x14ac:dyDescent="0.35">
      <c r="B145" s="31"/>
      <c r="D145" s="31"/>
      <c r="E145" s="31"/>
    </row>
    <row r="146" spans="2:5" ht="12.75" customHeight="1" x14ac:dyDescent="0.35">
      <c r="B146" s="31"/>
      <c r="D146" s="31"/>
      <c r="E146" s="31"/>
    </row>
    <row r="147" spans="2:5" ht="12.75" customHeight="1" x14ac:dyDescent="0.35">
      <c r="B147" s="31"/>
      <c r="D147" s="31"/>
      <c r="E147" s="31"/>
    </row>
    <row r="148" spans="2:5" ht="12.75" customHeight="1" x14ac:dyDescent="0.35">
      <c r="B148" s="31"/>
      <c r="D148" s="31"/>
      <c r="E148" s="31"/>
    </row>
    <row r="149" spans="2:5" ht="12.75" customHeight="1" x14ac:dyDescent="0.35">
      <c r="B149" s="31"/>
      <c r="D149" s="31"/>
      <c r="E149" s="31"/>
    </row>
    <row r="150" spans="2:5" ht="12.75" customHeight="1" x14ac:dyDescent="0.35">
      <c r="B150" s="31"/>
      <c r="D150" s="31"/>
      <c r="E150" s="31"/>
    </row>
    <row r="151" spans="2:5" ht="12.75" customHeight="1" x14ac:dyDescent="0.35">
      <c r="B151" s="31"/>
      <c r="D151" s="31"/>
      <c r="E151" s="31"/>
    </row>
    <row r="152" spans="2:5" ht="12.75" customHeight="1" x14ac:dyDescent="0.35">
      <c r="B152" s="31"/>
      <c r="D152" s="31"/>
      <c r="E152" s="31"/>
    </row>
    <row r="153" spans="2:5" ht="12.75" customHeight="1" x14ac:dyDescent="0.35">
      <c r="B153" s="31"/>
      <c r="D153" s="31"/>
      <c r="E153" s="31"/>
    </row>
    <row r="154" spans="2:5" ht="12.75" customHeight="1" x14ac:dyDescent="0.35">
      <c r="B154" s="31"/>
      <c r="D154" s="31"/>
      <c r="E154" s="31"/>
    </row>
    <row r="155" spans="2:5" ht="12.75" customHeight="1" x14ac:dyDescent="0.35">
      <c r="B155" s="31"/>
      <c r="D155" s="31"/>
      <c r="E155" s="31"/>
    </row>
    <row r="156" spans="2:5" ht="12.75" customHeight="1" x14ac:dyDescent="0.35">
      <c r="B156" s="31"/>
      <c r="D156" s="31"/>
      <c r="E156" s="31"/>
    </row>
    <row r="157" spans="2:5" ht="12.75" customHeight="1" x14ac:dyDescent="0.35">
      <c r="B157" s="31"/>
      <c r="D157" s="31"/>
      <c r="E157" s="31"/>
    </row>
    <row r="158" spans="2:5" ht="12.75" customHeight="1" x14ac:dyDescent="0.35">
      <c r="B158" s="31"/>
      <c r="D158" s="31"/>
      <c r="E158" s="31"/>
    </row>
    <row r="159" spans="2:5" ht="12.75" customHeight="1" x14ac:dyDescent="0.35">
      <c r="B159" s="31"/>
      <c r="D159" s="31"/>
      <c r="E159" s="31"/>
    </row>
    <row r="160" spans="2:5" ht="12.75" customHeight="1" x14ac:dyDescent="0.35">
      <c r="B160" s="31"/>
      <c r="D160" s="31"/>
      <c r="E160" s="31"/>
    </row>
    <row r="161" spans="2:5" ht="12.75" customHeight="1" x14ac:dyDescent="0.35">
      <c r="B161" s="31"/>
      <c r="D161" s="31"/>
      <c r="E161" s="31"/>
    </row>
    <row r="162" spans="2:5" ht="12.75" customHeight="1" x14ac:dyDescent="0.35">
      <c r="B162" s="31"/>
      <c r="D162" s="31"/>
      <c r="E162" s="31"/>
    </row>
    <row r="163" spans="2:5" ht="12.75" customHeight="1" x14ac:dyDescent="0.35">
      <c r="B163" s="31"/>
      <c r="D163" s="31"/>
      <c r="E163" s="31"/>
    </row>
    <row r="164" spans="2:5" ht="12.75" customHeight="1" x14ac:dyDescent="0.35">
      <c r="B164" s="31"/>
      <c r="D164" s="31"/>
      <c r="E164" s="31"/>
    </row>
    <row r="165" spans="2:5" ht="12.75" customHeight="1" x14ac:dyDescent="0.35">
      <c r="B165" s="31"/>
      <c r="D165" s="31"/>
      <c r="E165" s="31"/>
    </row>
    <row r="166" spans="2:5" ht="12.75" customHeight="1" x14ac:dyDescent="0.35">
      <c r="B166" s="31"/>
      <c r="D166" s="31"/>
      <c r="E166" s="31"/>
    </row>
    <row r="167" spans="2:5" ht="12.75" customHeight="1" x14ac:dyDescent="0.35">
      <c r="B167" s="31"/>
      <c r="D167" s="31"/>
      <c r="E167" s="31"/>
    </row>
    <row r="168" spans="2:5" ht="12.75" customHeight="1" x14ac:dyDescent="0.35">
      <c r="B168" s="31"/>
      <c r="D168" s="31"/>
      <c r="E168" s="31"/>
    </row>
    <row r="169" spans="2:5" ht="12.75" customHeight="1" x14ac:dyDescent="0.35">
      <c r="B169" s="31"/>
      <c r="D169" s="31"/>
      <c r="E169" s="31"/>
    </row>
    <row r="170" spans="2:5" ht="12.75" customHeight="1" x14ac:dyDescent="0.35">
      <c r="B170" s="31"/>
      <c r="D170" s="31"/>
      <c r="E170" s="31"/>
    </row>
    <row r="171" spans="2:5" ht="12.75" customHeight="1" x14ac:dyDescent="0.35">
      <c r="B171" s="31"/>
      <c r="D171" s="31"/>
      <c r="E171" s="31"/>
    </row>
    <row r="172" spans="2:5" ht="12.75" customHeight="1" x14ac:dyDescent="0.35">
      <c r="B172" s="31"/>
      <c r="D172" s="31"/>
      <c r="E172" s="31"/>
    </row>
    <row r="173" spans="2:5" ht="12.75" customHeight="1" x14ac:dyDescent="0.35">
      <c r="B173" s="31"/>
      <c r="D173" s="31"/>
      <c r="E173" s="31"/>
    </row>
    <row r="174" spans="2:5" ht="12.75" customHeight="1" x14ac:dyDescent="0.35">
      <c r="B174" s="31"/>
      <c r="D174" s="31"/>
      <c r="E174" s="31"/>
    </row>
    <row r="175" spans="2:5" ht="12.75" customHeight="1" x14ac:dyDescent="0.35">
      <c r="B175" s="31"/>
      <c r="D175" s="31"/>
      <c r="E175" s="31"/>
    </row>
    <row r="176" spans="2:5" ht="12.75" customHeight="1" x14ac:dyDescent="0.35">
      <c r="B176" s="31"/>
      <c r="D176" s="31"/>
      <c r="E176" s="31"/>
    </row>
    <row r="177" spans="2:5" ht="12.75" customHeight="1" x14ac:dyDescent="0.35">
      <c r="B177" s="31"/>
      <c r="D177" s="31"/>
      <c r="E177" s="31"/>
    </row>
    <row r="178" spans="2:5" ht="12.75" customHeight="1" x14ac:dyDescent="0.35">
      <c r="B178" s="31"/>
      <c r="D178" s="31"/>
      <c r="E178" s="31"/>
    </row>
    <row r="179" spans="2:5" ht="12.75" customHeight="1" x14ac:dyDescent="0.35">
      <c r="B179" s="31"/>
      <c r="D179" s="31"/>
      <c r="E179" s="31"/>
    </row>
    <row r="180" spans="2:5" ht="12.75" customHeight="1" x14ac:dyDescent="0.35">
      <c r="B180" s="31"/>
      <c r="D180" s="31"/>
      <c r="E180" s="31"/>
    </row>
    <row r="181" spans="2:5" ht="12.75" customHeight="1" x14ac:dyDescent="0.35">
      <c r="B181" s="31"/>
      <c r="D181" s="31"/>
      <c r="E181" s="31"/>
    </row>
    <row r="182" spans="2:5" ht="12.75" customHeight="1" x14ac:dyDescent="0.35">
      <c r="B182" s="31"/>
      <c r="D182" s="31"/>
      <c r="E182" s="31"/>
    </row>
    <row r="183" spans="2:5" ht="12.75" customHeight="1" x14ac:dyDescent="0.35">
      <c r="B183" s="31"/>
      <c r="D183" s="31"/>
      <c r="E183" s="31"/>
    </row>
    <row r="184" spans="2:5" ht="12.75" customHeight="1" x14ac:dyDescent="0.35">
      <c r="B184" s="31"/>
      <c r="D184" s="31"/>
      <c r="E184" s="31"/>
    </row>
    <row r="185" spans="2:5" ht="12.75" customHeight="1" x14ac:dyDescent="0.35">
      <c r="B185" s="31"/>
      <c r="D185" s="31"/>
      <c r="E185" s="31"/>
    </row>
    <row r="186" spans="2:5" ht="12.75" customHeight="1" x14ac:dyDescent="0.35">
      <c r="B186" s="31"/>
      <c r="D186" s="31"/>
      <c r="E186" s="31"/>
    </row>
    <row r="187" spans="2:5" ht="12.75" customHeight="1" x14ac:dyDescent="0.35">
      <c r="B187" s="31"/>
      <c r="D187" s="31"/>
      <c r="E187" s="31"/>
    </row>
    <row r="188" spans="2:5" ht="12.75" customHeight="1" x14ac:dyDescent="0.35">
      <c r="B188" s="31"/>
      <c r="D188" s="31"/>
      <c r="E188" s="31"/>
    </row>
    <row r="189" spans="2:5" ht="12.75" customHeight="1" x14ac:dyDescent="0.35">
      <c r="B189" s="31"/>
      <c r="D189" s="31"/>
      <c r="E189" s="31"/>
    </row>
    <row r="190" spans="2:5" ht="12.75" customHeight="1" x14ac:dyDescent="0.35">
      <c r="B190" s="31"/>
      <c r="D190" s="31"/>
      <c r="E190" s="31"/>
    </row>
    <row r="191" spans="2:5" ht="12.75" customHeight="1" x14ac:dyDescent="0.35">
      <c r="B191" s="31"/>
      <c r="D191" s="31"/>
      <c r="E191" s="31"/>
    </row>
    <row r="192" spans="2:5" ht="12.75" customHeight="1" x14ac:dyDescent="0.35">
      <c r="B192" s="31"/>
      <c r="D192" s="31"/>
      <c r="E192" s="31"/>
    </row>
    <row r="193" spans="2:5" ht="12.75" customHeight="1" x14ac:dyDescent="0.35">
      <c r="B193" s="31"/>
      <c r="D193" s="31"/>
      <c r="E193" s="31"/>
    </row>
    <row r="194" spans="2:5" ht="12.75" customHeight="1" x14ac:dyDescent="0.35">
      <c r="B194" s="31"/>
      <c r="D194" s="31"/>
      <c r="E194" s="31"/>
    </row>
    <row r="195" spans="2:5" ht="12.75" customHeight="1" x14ac:dyDescent="0.35">
      <c r="B195" s="31"/>
      <c r="D195" s="31"/>
      <c r="E195" s="31"/>
    </row>
    <row r="196" spans="2:5" ht="12.75" customHeight="1" x14ac:dyDescent="0.35">
      <c r="B196" s="31"/>
      <c r="D196" s="31"/>
      <c r="E196" s="31"/>
    </row>
    <row r="197" spans="2:5" ht="12.75" customHeight="1" x14ac:dyDescent="0.35">
      <c r="B197" s="31"/>
      <c r="D197" s="31"/>
      <c r="E197" s="31"/>
    </row>
    <row r="198" spans="2:5" ht="12.75" customHeight="1" x14ac:dyDescent="0.35">
      <c r="B198" s="31"/>
      <c r="D198" s="31"/>
      <c r="E198" s="31"/>
    </row>
    <row r="199" spans="2:5" ht="12.75" customHeight="1" x14ac:dyDescent="0.35">
      <c r="B199" s="31"/>
      <c r="D199" s="31"/>
      <c r="E199" s="31"/>
    </row>
    <row r="200" spans="2:5" ht="12.75" customHeight="1" x14ac:dyDescent="0.35">
      <c r="B200" s="31"/>
      <c r="D200" s="31"/>
      <c r="E200" s="31"/>
    </row>
    <row r="201" spans="2:5" ht="12.75" customHeight="1" x14ac:dyDescent="0.35">
      <c r="B201" s="31"/>
      <c r="D201" s="31"/>
      <c r="E201" s="31"/>
    </row>
    <row r="202" spans="2:5" ht="12.75" customHeight="1" x14ac:dyDescent="0.35">
      <c r="B202" s="31"/>
      <c r="D202" s="31"/>
      <c r="E202" s="31"/>
    </row>
    <row r="203" spans="2:5" ht="12.75" customHeight="1" x14ac:dyDescent="0.35">
      <c r="B203" s="31"/>
      <c r="D203" s="31"/>
      <c r="E203" s="31"/>
    </row>
    <row r="204" spans="2:5" ht="12.75" customHeight="1" x14ac:dyDescent="0.35">
      <c r="B204" s="31"/>
      <c r="D204" s="31"/>
      <c r="E204" s="31"/>
    </row>
    <row r="205" spans="2:5" ht="12.75" customHeight="1" x14ac:dyDescent="0.35">
      <c r="B205" s="31"/>
      <c r="D205" s="31"/>
      <c r="E205" s="31"/>
    </row>
    <row r="206" spans="2:5" ht="12.75" customHeight="1" x14ac:dyDescent="0.35">
      <c r="B206" s="31"/>
      <c r="D206" s="31"/>
      <c r="E206" s="31"/>
    </row>
    <row r="207" spans="2:5" ht="12.75" customHeight="1" x14ac:dyDescent="0.35">
      <c r="B207" s="31"/>
      <c r="D207" s="31"/>
      <c r="E207" s="31"/>
    </row>
    <row r="208" spans="2:5" ht="12.75" customHeight="1" x14ac:dyDescent="0.35">
      <c r="B208" s="31"/>
      <c r="D208" s="31"/>
      <c r="E208" s="31"/>
    </row>
    <row r="209" spans="2:5" ht="12.75" customHeight="1" x14ac:dyDescent="0.35">
      <c r="B209" s="31"/>
      <c r="D209" s="31"/>
      <c r="E209" s="31"/>
    </row>
    <row r="210" spans="2:5" ht="12.75" customHeight="1" x14ac:dyDescent="0.35">
      <c r="B210" s="31"/>
      <c r="D210" s="31"/>
      <c r="E210" s="31"/>
    </row>
    <row r="211" spans="2:5" ht="12.75" customHeight="1" x14ac:dyDescent="0.35">
      <c r="B211" s="31"/>
      <c r="D211" s="31"/>
      <c r="E211" s="31"/>
    </row>
    <row r="212" spans="2:5" ht="12.75" customHeight="1" x14ac:dyDescent="0.35">
      <c r="B212" s="31"/>
      <c r="D212" s="31"/>
      <c r="E212" s="31"/>
    </row>
    <row r="213" spans="2:5" ht="12.75" customHeight="1" x14ac:dyDescent="0.35">
      <c r="B213" s="31"/>
      <c r="D213" s="31"/>
      <c r="E213" s="31"/>
    </row>
    <row r="214" spans="2:5" ht="12.75" customHeight="1" x14ac:dyDescent="0.35">
      <c r="B214" s="31"/>
      <c r="D214" s="31"/>
      <c r="E214" s="31"/>
    </row>
    <row r="215" spans="2:5" ht="12.75" customHeight="1" x14ac:dyDescent="0.35">
      <c r="B215" s="31"/>
      <c r="D215" s="31"/>
      <c r="E215" s="31"/>
    </row>
    <row r="216" spans="2:5" ht="12.75" customHeight="1" x14ac:dyDescent="0.35">
      <c r="B216" s="31"/>
      <c r="D216" s="31"/>
      <c r="E216" s="31"/>
    </row>
    <row r="217" spans="2:5" ht="12.75" customHeight="1" x14ac:dyDescent="0.35">
      <c r="B217" s="31"/>
      <c r="D217" s="31"/>
      <c r="E217" s="31"/>
    </row>
    <row r="218" spans="2:5" ht="12.75" customHeight="1" x14ac:dyDescent="0.35">
      <c r="B218" s="31"/>
      <c r="D218" s="31"/>
      <c r="E218" s="31"/>
    </row>
    <row r="219" spans="2:5" ht="12.75" customHeight="1" x14ac:dyDescent="0.35">
      <c r="B219" s="31"/>
      <c r="D219" s="31"/>
      <c r="E219" s="31"/>
    </row>
    <row r="220" spans="2:5" ht="12.75" customHeight="1" x14ac:dyDescent="0.35">
      <c r="B220" s="31"/>
      <c r="D220" s="31"/>
      <c r="E220" s="31"/>
    </row>
    <row r="221" spans="2:5" ht="12.75" customHeight="1" x14ac:dyDescent="0.35">
      <c r="B221" s="31"/>
      <c r="D221" s="31"/>
      <c r="E221" s="31"/>
    </row>
    <row r="222" spans="2:5" ht="12.75" customHeight="1" x14ac:dyDescent="0.35">
      <c r="B222" s="31"/>
      <c r="D222" s="31"/>
      <c r="E222" s="31"/>
    </row>
    <row r="223" spans="2:5" ht="12.75" customHeight="1" x14ac:dyDescent="0.35">
      <c r="B223" s="31"/>
      <c r="D223" s="31"/>
      <c r="E223" s="31"/>
    </row>
    <row r="224" spans="2:5" ht="12.75" customHeight="1" x14ac:dyDescent="0.35">
      <c r="B224" s="31"/>
      <c r="D224" s="31"/>
      <c r="E224" s="31"/>
    </row>
    <row r="225" spans="2:5" ht="12.75" customHeight="1" x14ac:dyDescent="0.35">
      <c r="B225" s="31"/>
      <c r="D225" s="31"/>
      <c r="E225" s="31"/>
    </row>
    <row r="226" spans="2:5" ht="12.75" customHeight="1" x14ac:dyDescent="0.35">
      <c r="B226" s="31"/>
      <c r="D226" s="31"/>
      <c r="E226" s="31"/>
    </row>
    <row r="227" spans="2:5" ht="12.75" customHeight="1" x14ac:dyDescent="0.35">
      <c r="B227" s="31"/>
      <c r="D227" s="31"/>
      <c r="E227" s="31"/>
    </row>
    <row r="228" spans="2:5" ht="12.75" customHeight="1" x14ac:dyDescent="0.35">
      <c r="B228" s="31"/>
      <c r="D228" s="31"/>
      <c r="E228" s="31"/>
    </row>
    <row r="229" spans="2:5" ht="12.75" customHeight="1" x14ac:dyDescent="0.35">
      <c r="B229" s="31"/>
      <c r="D229" s="31"/>
      <c r="E229" s="31"/>
    </row>
    <row r="230" spans="2:5" ht="12.75" customHeight="1" x14ac:dyDescent="0.35">
      <c r="B230" s="31"/>
      <c r="D230" s="31"/>
      <c r="E230" s="31"/>
    </row>
    <row r="231" spans="2:5" ht="12.75" customHeight="1" x14ac:dyDescent="0.35">
      <c r="B231" s="31"/>
      <c r="D231" s="31"/>
      <c r="E231" s="31"/>
    </row>
    <row r="232" spans="2:5" ht="12.75" customHeight="1" x14ac:dyDescent="0.35">
      <c r="B232" s="31"/>
      <c r="D232" s="31"/>
      <c r="E232" s="31"/>
    </row>
    <row r="233" spans="2:5" ht="12.75" customHeight="1" x14ac:dyDescent="0.35">
      <c r="B233" s="31"/>
      <c r="D233" s="31"/>
      <c r="E233" s="31"/>
    </row>
    <row r="234" spans="2:5" ht="12.75" customHeight="1" x14ac:dyDescent="0.35">
      <c r="B234" s="31"/>
      <c r="D234" s="31"/>
      <c r="E234" s="31"/>
    </row>
    <row r="235" spans="2:5" ht="12.75" customHeight="1" x14ac:dyDescent="0.35">
      <c r="B235" s="31"/>
      <c r="D235" s="31"/>
      <c r="E235" s="31"/>
    </row>
    <row r="236" spans="2:5" ht="12.75" customHeight="1" x14ac:dyDescent="0.35">
      <c r="B236" s="31"/>
      <c r="D236" s="31"/>
      <c r="E236" s="31"/>
    </row>
    <row r="237" spans="2:5" ht="12.75" customHeight="1" x14ac:dyDescent="0.35">
      <c r="B237" s="31"/>
      <c r="D237" s="31"/>
      <c r="E237" s="31"/>
    </row>
    <row r="238" spans="2:5" ht="12.75" customHeight="1" x14ac:dyDescent="0.35">
      <c r="B238" s="31"/>
      <c r="D238" s="31"/>
      <c r="E238" s="31"/>
    </row>
    <row r="239" spans="2:5" ht="12.75" customHeight="1" x14ac:dyDescent="0.35">
      <c r="B239" s="31"/>
      <c r="D239" s="31"/>
      <c r="E239" s="31"/>
    </row>
    <row r="240" spans="2:5" ht="12.75" customHeight="1" x14ac:dyDescent="0.35">
      <c r="B240" s="31"/>
      <c r="D240" s="31"/>
      <c r="E240" s="31"/>
    </row>
    <row r="241" spans="2:5" ht="12.75" customHeight="1" x14ac:dyDescent="0.35">
      <c r="B241" s="31"/>
      <c r="D241" s="31"/>
      <c r="E241" s="31"/>
    </row>
    <row r="242" spans="2:5" ht="12.75" customHeight="1" x14ac:dyDescent="0.35">
      <c r="B242" s="31"/>
      <c r="D242" s="31"/>
      <c r="E242" s="31"/>
    </row>
    <row r="243" spans="2:5" ht="12.75" customHeight="1" x14ac:dyDescent="0.35">
      <c r="B243" s="31"/>
      <c r="D243" s="31"/>
      <c r="E243" s="31"/>
    </row>
    <row r="244" spans="2:5" ht="12.75" customHeight="1" x14ac:dyDescent="0.35">
      <c r="B244" s="31"/>
      <c r="D244" s="31"/>
      <c r="E244" s="31"/>
    </row>
    <row r="245" spans="2:5" ht="12.75" customHeight="1" x14ac:dyDescent="0.35">
      <c r="B245" s="31"/>
      <c r="D245" s="31"/>
      <c r="E245" s="31"/>
    </row>
    <row r="246" spans="2:5" ht="12.75" customHeight="1" x14ac:dyDescent="0.35">
      <c r="B246" s="31"/>
      <c r="D246" s="31"/>
      <c r="E246" s="31"/>
    </row>
    <row r="247" spans="2:5" ht="12.75" customHeight="1" x14ac:dyDescent="0.35">
      <c r="B247" s="31"/>
      <c r="D247" s="31"/>
      <c r="E247" s="31"/>
    </row>
    <row r="248" spans="2:5" ht="12.75" customHeight="1" x14ac:dyDescent="0.35">
      <c r="B248" s="31"/>
      <c r="D248" s="31"/>
      <c r="E248" s="31"/>
    </row>
    <row r="249" spans="2:5" ht="12.75" customHeight="1" x14ac:dyDescent="0.35">
      <c r="B249" s="31"/>
      <c r="D249" s="31"/>
      <c r="E249" s="31"/>
    </row>
    <row r="250" spans="2:5" ht="12.75" customHeight="1" x14ac:dyDescent="0.35">
      <c r="B250" s="31"/>
      <c r="D250" s="31"/>
      <c r="E250" s="31"/>
    </row>
    <row r="251" spans="2:5" ht="12.75" customHeight="1" x14ac:dyDescent="0.35">
      <c r="B251" s="31"/>
      <c r="D251" s="31"/>
      <c r="E251" s="31"/>
    </row>
    <row r="252" spans="2:5" ht="12.75" customHeight="1" x14ac:dyDescent="0.35">
      <c r="B252" s="31"/>
      <c r="D252" s="31"/>
      <c r="E252" s="31"/>
    </row>
    <row r="253" spans="2:5" ht="12.75" customHeight="1" x14ac:dyDescent="0.35">
      <c r="B253" s="31"/>
      <c r="D253" s="31"/>
      <c r="E253" s="31"/>
    </row>
    <row r="254" spans="2:5" ht="12.75" customHeight="1" x14ac:dyDescent="0.35">
      <c r="B254" s="31"/>
      <c r="D254" s="31"/>
      <c r="E254" s="31"/>
    </row>
    <row r="255" spans="2:5" ht="12.75" customHeight="1" x14ac:dyDescent="0.35">
      <c r="B255" s="31"/>
      <c r="D255" s="31"/>
      <c r="E255" s="31"/>
    </row>
    <row r="256" spans="2:5" ht="12.75" customHeight="1" x14ac:dyDescent="0.35">
      <c r="B256" s="31"/>
      <c r="D256" s="31"/>
      <c r="E256" s="31"/>
    </row>
    <row r="257" spans="2:5" ht="12.75" customHeight="1" x14ac:dyDescent="0.35">
      <c r="B257" s="31"/>
      <c r="D257" s="31"/>
      <c r="E257" s="31"/>
    </row>
    <row r="258" spans="2:5" ht="12.75" customHeight="1" x14ac:dyDescent="0.35">
      <c r="B258" s="31"/>
      <c r="D258" s="31"/>
      <c r="E258" s="31"/>
    </row>
    <row r="259" spans="2:5" ht="12.75" customHeight="1" x14ac:dyDescent="0.35">
      <c r="B259" s="31"/>
      <c r="D259" s="31"/>
      <c r="E259" s="31"/>
    </row>
    <row r="260" spans="2:5" ht="12.75" customHeight="1" x14ac:dyDescent="0.35">
      <c r="B260" s="31"/>
      <c r="D260" s="31"/>
      <c r="E260" s="31"/>
    </row>
    <row r="261" spans="2:5" ht="12.75" customHeight="1" x14ac:dyDescent="0.35">
      <c r="B261" s="31"/>
      <c r="D261" s="31"/>
      <c r="E261" s="31"/>
    </row>
    <row r="262" spans="2:5" ht="12.75" customHeight="1" x14ac:dyDescent="0.35">
      <c r="B262" s="31"/>
      <c r="D262" s="31"/>
      <c r="E262" s="31"/>
    </row>
    <row r="263" spans="2:5" ht="12.75" customHeight="1" x14ac:dyDescent="0.35">
      <c r="B263" s="31"/>
      <c r="D263" s="31"/>
      <c r="E263" s="31"/>
    </row>
    <row r="264" spans="2:5" ht="12.75" customHeight="1" x14ac:dyDescent="0.35">
      <c r="B264" s="31"/>
      <c r="D264" s="31"/>
      <c r="E264" s="31"/>
    </row>
    <row r="265" spans="2:5" ht="12.75" customHeight="1" x14ac:dyDescent="0.35">
      <c r="B265" s="31"/>
      <c r="D265" s="31"/>
      <c r="E265" s="31"/>
    </row>
    <row r="266" spans="2:5" ht="12.75" customHeight="1" x14ac:dyDescent="0.35">
      <c r="B266" s="31"/>
      <c r="D266" s="31"/>
      <c r="E266" s="31"/>
    </row>
    <row r="267" spans="2:5" ht="12.75" customHeight="1" x14ac:dyDescent="0.35">
      <c r="B267" s="31"/>
      <c r="D267" s="31"/>
      <c r="E267" s="31"/>
    </row>
    <row r="268" spans="2:5" ht="12.75" customHeight="1" x14ac:dyDescent="0.35">
      <c r="B268" s="31"/>
      <c r="D268" s="31"/>
      <c r="E268" s="31"/>
    </row>
    <row r="269" spans="2:5" ht="12.75" customHeight="1" x14ac:dyDescent="0.35">
      <c r="B269" s="31"/>
      <c r="D269" s="31"/>
      <c r="E269" s="31"/>
    </row>
    <row r="270" spans="2:5" ht="12.75" customHeight="1" x14ac:dyDescent="0.35">
      <c r="B270" s="31"/>
      <c r="D270" s="31"/>
      <c r="E270" s="31"/>
    </row>
    <row r="271" spans="2:5" ht="12.75" customHeight="1" x14ac:dyDescent="0.35">
      <c r="B271" s="31"/>
      <c r="D271" s="31"/>
      <c r="E271" s="31"/>
    </row>
    <row r="272" spans="2:5" ht="12.75" customHeight="1" x14ac:dyDescent="0.35">
      <c r="B272" s="31"/>
      <c r="D272" s="31"/>
      <c r="E272" s="31"/>
    </row>
    <row r="273" spans="2:5" ht="12.75" customHeight="1" x14ac:dyDescent="0.35">
      <c r="B273" s="31"/>
      <c r="D273" s="31"/>
      <c r="E273" s="31"/>
    </row>
    <row r="274" spans="2:5" ht="12.75" customHeight="1" x14ac:dyDescent="0.35">
      <c r="B274" s="31"/>
      <c r="D274" s="31"/>
      <c r="E274" s="31"/>
    </row>
    <row r="275" spans="2:5" ht="12.75" customHeight="1" x14ac:dyDescent="0.35">
      <c r="B275" s="31"/>
      <c r="D275" s="31"/>
      <c r="E275" s="31"/>
    </row>
    <row r="276" spans="2:5" ht="12.75" customHeight="1" x14ac:dyDescent="0.35">
      <c r="B276" s="31"/>
      <c r="D276" s="31"/>
      <c r="E276" s="31"/>
    </row>
    <row r="277" spans="2:5" ht="12.75" customHeight="1" x14ac:dyDescent="0.35">
      <c r="B277" s="31"/>
      <c r="D277" s="31"/>
      <c r="E277" s="31"/>
    </row>
    <row r="278" spans="2:5" ht="12.75" customHeight="1" x14ac:dyDescent="0.35">
      <c r="B278" s="31"/>
      <c r="D278" s="31"/>
      <c r="E278" s="31"/>
    </row>
    <row r="279" spans="2:5" ht="12.75" customHeight="1" x14ac:dyDescent="0.35">
      <c r="B279" s="31"/>
      <c r="D279" s="31"/>
      <c r="E279" s="31"/>
    </row>
    <row r="280" spans="2:5" ht="12.75" customHeight="1" x14ac:dyDescent="0.35">
      <c r="B280" s="31"/>
      <c r="D280" s="31"/>
      <c r="E280" s="31"/>
    </row>
    <row r="281" spans="2:5" ht="12.75" customHeight="1" x14ac:dyDescent="0.35">
      <c r="B281" s="31"/>
      <c r="D281" s="31"/>
      <c r="E281" s="31"/>
    </row>
    <row r="282" spans="2:5" ht="12.75" customHeight="1" x14ac:dyDescent="0.35">
      <c r="B282" s="31"/>
      <c r="D282" s="31"/>
      <c r="E282" s="31"/>
    </row>
    <row r="283" spans="2:5" ht="12.75" customHeight="1" x14ac:dyDescent="0.35">
      <c r="B283" s="31"/>
      <c r="D283" s="31"/>
      <c r="E283" s="31"/>
    </row>
    <row r="284" spans="2:5" ht="12.75" customHeight="1" x14ac:dyDescent="0.35">
      <c r="B284" s="31"/>
      <c r="D284" s="31"/>
      <c r="E284" s="31"/>
    </row>
    <row r="285" spans="2:5" ht="12.75" customHeight="1" x14ac:dyDescent="0.35">
      <c r="B285" s="31"/>
      <c r="D285" s="31"/>
      <c r="E285" s="31"/>
    </row>
    <row r="286" spans="2:5" ht="12.75" customHeight="1" x14ac:dyDescent="0.35">
      <c r="B286" s="31"/>
      <c r="D286" s="31"/>
      <c r="E286" s="31"/>
    </row>
    <row r="287" spans="2:5" ht="12.75" customHeight="1" x14ac:dyDescent="0.35">
      <c r="B287" s="31"/>
      <c r="D287" s="31"/>
      <c r="E287" s="31"/>
    </row>
    <row r="288" spans="2:5" ht="12.75" customHeight="1" x14ac:dyDescent="0.35">
      <c r="B288" s="31"/>
      <c r="D288" s="31"/>
      <c r="E288" s="31"/>
    </row>
    <row r="289" spans="2:5" ht="12.75" customHeight="1" x14ac:dyDescent="0.35">
      <c r="B289" s="31"/>
      <c r="D289" s="31"/>
      <c r="E289" s="31"/>
    </row>
    <row r="290" spans="2:5" ht="12.75" customHeight="1" x14ac:dyDescent="0.35">
      <c r="B290" s="31"/>
      <c r="D290" s="31"/>
      <c r="E290" s="31"/>
    </row>
    <row r="291" spans="2:5" ht="12.75" customHeight="1" x14ac:dyDescent="0.35">
      <c r="B291" s="31"/>
      <c r="D291" s="31"/>
      <c r="E291" s="31"/>
    </row>
    <row r="292" spans="2:5" ht="12.75" customHeight="1" x14ac:dyDescent="0.35">
      <c r="B292" s="31"/>
      <c r="D292" s="31"/>
      <c r="E292" s="31"/>
    </row>
    <row r="293" spans="2:5" ht="12.75" customHeight="1" x14ac:dyDescent="0.35">
      <c r="B293" s="31"/>
      <c r="D293" s="31"/>
      <c r="E293" s="31"/>
    </row>
    <row r="294" spans="2:5" ht="12.75" customHeight="1" x14ac:dyDescent="0.35">
      <c r="B294" s="31"/>
      <c r="D294" s="31"/>
      <c r="E294" s="31"/>
    </row>
    <row r="295" spans="2:5" ht="12.75" customHeight="1" x14ac:dyDescent="0.35">
      <c r="B295" s="31"/>
      <c r="D295" s="31"/>
      <c r="E295" s="31"/>
    </row>
    <row r="296" spans="2:5" ht="12.75" customHeight="1" x14ac:dyDescent="0.35">
      <c r="B296" s="31"/>
      <c r="D296" s="31"/>
      <c r="E296" s="31"/>
    </row>
    <row r="297" spans="2:5" ht="12.75" customHeight="1" x14ac:dyDescent="0.35">
      <c r="B297" s="31"/>
      <c r="D297" s="31"/>
      <c r="E297" s="31"/>
    </row>
    <row r="298" spans="2:5" ht="12.75" customHeight="1" x14ac:dyDescent="0.35">
      <c r="B298" s="31"/>
      <c r="D298" s="31"/>
      <c r="E298" s="31"/>
    </row>
    <row r="299" spans="2:5" ht="12.75" customHeight="1" x14ac:dyDescent="0.35">
      <c r="B299" s="31"/>
      <c r="D299" s="31"/>
      <c r="E299" s="31"/>
    </row>
    <row r="300" spans="2:5" ht="12.75" customHeight="1" x14ac:dyDescent="0.35">
      <c r="B300" s="31"/>
      <c r="D300" s="31"/>
      <c r="E300" s="31"/>
    </row>
  </sheetData>
  <sheetProtection algorithmName="SHA-512" hashValue="PTg4WycOXQZWh8jGyL3DJIpfH4hXHIN76iGPEFDawHtC23h3wZtVjXFnIWyTKOT1K3WNDSsfv9LLOWr3aHWdGA==" saltValue="B/5NZ7oGyqMeiOq1Y/dbOw=="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Profit  Loss</vt:lpstr>
      <vt:lpstr>Sheet2</vt:lpstr>
      <vt:lpstr>BASE - Pre CV-19</vt:lpstr>
      <vt:lpstr>SUMMARY</vt:lpstr>
      <vt:lpstr>BASE assumptions </vt:lpstr>
      <vt:lpstr>BASE Budget pre CV-19</vt:lpstr>
      <vt:lpstr>BASE YTD adjust</vt:lpstr>
      <vt:lpstr>PS 21_22 NC</vt:lpstr>
      <vt:lpstr>PS 21_22 T75jan21</vt:lpstr>
      <vt:lpstr>PS NT jan 21</vt:lpstr>
      <vt:lpstr>PS T75 NoSPCID</vt:lpstr>
      <vt:lpstr>PS 21_22 NC mem 5 and 25</vt:lpstr>
      <vt:lpstr>PS 21_22 NC  Mem 5 and 50</vt:lpstr>
      <vt:lpstr>PS 21_22 NoSPCIS mem 5&amp; 25</vt:lpstr>
      <vt:lpstr>PS 21_22 NoSPCID memb 5 and 50</vt:lpstr>
      <vt:lpstr>Sheet8</vt:lpstr>
      <vt:lpstr>swap paris years</vt:lpstr>
      <vt:lpstr>swap Paris no SEAPAC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Killen</dc:creator>
  <cp:lastModifiedBy>Terry Killen</cp:lastModifiedBy>
  <cp:lastPrinted>2020-04-20T04:40:18Z</cp:lastPrinted>
  <dcterms:created xsi:type="dcterms:W3CDTF">2018-10-29T08:30:21Z</dcterms:created>
  <dcterms:modified xsi:type="dcterms:W3CDTF">2020-04-21T13:49:35Z</dcterms:modified>
</cp:coreProperties>
</file>